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584" tabRatio="578" activeTab="0"/>
  </bookViews>
  <sheets>
    <sheet name="Deckblatt" sheetId="1" r:id="rId1"/>
    <sheet name="USA" sheetId="2" r:id="rId2"/>
    <sheet name="Great Britain" sheetId="3" r:id="rId3"/>
    <sheet name="Canada" sheetId="4" r:id="rId4"/>
    <sheet name="Australia" sheetId="5" r:id="rId5"/>
    <sheet name="New Zealand" sheetId="6" r:id="rId6"/>
    <sheet name="India" sheetId="7" r:id="rId7"/>
    <sheet name="South Africa" sheetId="8" r:id="rId8"/>
    <sheet name="Hong Kong" sheetId="9" r:id="rId9"/>
  </sheets>
  <definedNames>
    <definedName name="_xlnm._FilterDatabase" localSheetId="4" hidden="1">'Australia'!$B$8:$E$34</definedName>
    <definedName name="_xlnm._FilterDatabase" localSheetId="3" hidden="1">'Canada'!$B$8:$F$33</definedName>
    <definedName name="_xlnm._FilterDatabase" localSheetId="2" hidden="1">'Great Britain'!$C$9:$H$31</definedName>
    <definedName name="_xlnm._FilterDatabase" localSheetId="8" hidden="1">'Hong Kong'!$B$8:$D$14</definedName>
    <definedName name="_xlnm._FilterDatabase" localSheetId="6" hidden="1">'India'!$B$8:$E$37</definedName>
    <definedName name="_xlnm._FilterDatabase" localSheetId="5" hidden="1">'New Zealand'!$B$8:$F$20</definedName>
    <definedName name="_xlnm._FilterDatabase" localSheetId="7" hidden="1">'South Africa'!$B$8:$E$21</definedName>
    <definedName name="_xlnm._FilterDatabase" localSheetId="1" hidden="1">'USA'!$B$8:$F$33</definedName>
    <definedName name="Australia">'Australia'!$B$8:$E$34</definedName>
    <definedName name="Australia_1">'Australia'!$B$8:$E$34</definedName>
    <definedName name="Canada">'Canada'!$C$8:$F$33</definedName>
    <definedName name="Canada_1">'Canada'!$C$8:$F$33</definedName>
    <definedName name="Canada_2">'Canada'!$C$8:$F$33</definedName>
    <definedName name="Canadafranz">'Canada'!$C$38:$D$46</definedName>
    <definedName name="Canadafranz_1">'Canada'!$C$38:$D$46</definedName>
    <definedName name="Excel_BuiltIn__FilterDatabase_1">'Canada'!$C$38:$D$46</definedName>
    <definedName name="Excel_BuiltIn__FilterDatabase_1_1">'Canada'!$C$38:$D$46</definedName>
    <definedName name="GreatBritain">'Great Britain'!$C$9:$H$31</definedName>
    <definedName name="GreatBritain_1">'Great Britain'!$C$9:$H$31</definedName>
    <definedName name="HongKong">'Hong Kong'!$B$8:$D$14</definedName>
    <definedName name="HongKong_1">'Hong Kong'!$B$8:$D$14</definedName>
    <definedName name="India">'India'!$B$8:$E$37</definedName>
    <definedName name="India_1">'India'!$B$8:$E$37</definedName>
    <definedName name="NewZealand">'New Zealand'!$B$8:$F$20</definedName>
    <definedName name="NewZealand_1">'New Zealand'!$B$8:$F$20</definedName>
    <definedName name="SouthAfrica">'South Africa'!$B$8:$E$21</definedName>
    <definedName name="SouthAfrica_1">'South Africa'!$B$8:$E$21</definedName>
    <definedName name="USA">'USA'!$B$8:$F$33</definedName>
    <definedName name="USA_1">'USA'!$B$8:$F$33</definedName>
  </definedNames>
  <calcPr fullCalcOnLoad="1"/>
</workbook>
</file>

<file path=xl/sharedStrings.xml><?xml version="1.0" encoding="utf-8"?>
<sst xmlns="http://schemas.openxmlformats.org/spreadsheetml/2006/main" count="718" uniqueCount="365">
  <si>
    <t>Hochschulen der Sozialen Arbeit im englischsprachigen Raum</t>
  </si>
  <si>
    <t xml:space="preserve">Einführende Übersichten und Links zur "Social Work Science" </t>
  </si>
  <si>
    <t>Hochschule für angewandte Wissenschaften</t>
  </si>
  <si>
    <t xml:space="preserve">Fakultät für angewandte Sozialwissenschaften </t>
  </si>
  <si>
    <t>Ergänzungen bitte an ralph.amthor@fhws.de schicken!</t>
  </si>
  <si>
    <t>Sehr geehrte Damen und Herren,</t>
  </si>
  <si>
    <t>Ralph-Christian Amthor</t>
  </si>
  <si>
    <t>Social Work USA</t>
  </si>
  <si>
    <t>I. Hochschulen</t>
  </si>
  <si>
    <t>a) Schools of Social Work (TOP 25)</t>
  </si>
  <si>
    <t>Rang:</t>
  </si>
  <si>
    <t>Universität mit Link</t>
  </si>
  <si>
    <t>Department mit Link</t>
  </si>
  <si>
    <t>Ort</t>
  </si>
  <si>
    <t>Abschlüsse</t>
  </si>
  <si>
    <t>St. Louis, MO</t>
  </si>
  <si>
    <t>MA, Promotion</t>
  </si>
  <si>
    <t>Legende:</t>
  </si>
  <si>
    <t>Ann Arbor, MI</t>
  </si>
  <si>
    <t>Abkürzung</t>
  </si>
  <si>
    <t>Abschluss</t>
  </si>
  <si>
    <t>Chicago, IL</t>
  </si>
  <si>
    <t>BA</t>
  </si>
  <si>
    <t>Bachelor of Social Work</t>
  </si>
  <si>
    <t>New York, NY</t>
  </si>
  <si>
    <t>MA</t>
  </si>
  <si>
    <t>Master of Social Work</t>
  </si>
  <si>
    <t>Seattle, WA</t>
  </si>
  <si>
    <t>BA, MA, Promotion</t>
  </si>
  <si>
    <t>Promotion</t>
  </si>
  <si>
    <t>Doctor of Social Work, Doctor of Philosophy</t>
  </si>
  <si>
    <t>Berkeley, CA</t>
  </si>
  <si>
    <t>Austin, TX</t>
  </si>
  <si>
    <t>Chapel Hill, NC</t>
  </si>
  <si>
    <t>Los Angeles, CA</t>
  </si>
  <si>
    <t>Cleveland, OH</t>
  </si>
  <si>
    <t>Albany, NY</t>
  </si>
  <si>
    <t>Madison, WI</t>
  </si>
  <si>
    <t>Chestnut Hill, MA</t>
  </si>
  <si>
    <t>Philadelphia, PA</t>
  </si>
  <si>
    <t>Pittsburgh, PA</t>
  </si>
  <si>
    <t>Richmond, VA</t>
  </si>
  <si>
    <t>Urbana-Champaign, IL</t>
  </si>
  <si>
    <t>Lawrence, KS</t>
  </si>
  <si>
    <t>Baltimore, MD</t>
  </si>
  <si>
    <t>Boston, MA</t>
  </si>
  <si>
    <t>Northampton, MA</t>
  </si>
  <si>
    <t xml:space="preserve">b) Weitere relevante Seiten zum Hochschulbereich: </t>
  </si>
  <si>
    <t>Titel mit Link</t>
  </si>
  <si>
    <t>Inhaltliche Ausrichtung</t>
  </si>
  <si>
    <t>Auflistung aller Hochschulen</t>
  </si>
  <si>
    <t xml:space="preserve">Akkreditierungsprozess des Council on Social Work Education </t>
  </si>
  <si>
    <t>Ranking: social psychology network</t>
  </si>
  <si>
    <t>Ranking: university-list.net</t>
  </si>
  <si>
    <t>Ranking: University Blogspot</t>
  </si>
  <si>
    <t>Ranking: college atlas</t>
  </si>
  <si>
    <t>II. Weitere ausgewählte Seiten zur Sozialen Arbeit</t>
  </si>
  <si>
    <t>Überblick zur Profession</t>
  </si>
  <si>
    <t>Linklisten zu Einrichtungen, Ausbildungsstätten usw.</t>
  </si>
  <si>
    <t>Erstinformation zum Beruf</t>
  </si>
  <si>
    <t>Information zum Beruf</t>
  </si>
  <si>
    <t>Datenbank für Arbeitgeber und Arbeitsuchende</t>
  </si>
  <si>
    <t>Bundesamt für Statistik</t>
  </si>
  <si>
    <t>Studien über die Profession</t>
  </si>
  <si>
    <t>Forschung zur Sozialen Arbeit in den USA</t>
  </si>
  <si>
    <t>III. Berufsverbände und Zusammenschlüsse</t>
  </si>
  <si>
    <t>NASW</t>
  </si>
  <si>
    <t>Der aktuelle Ethikkodex</t>
  </si>
  <si>
    <t>SSWR</t>
  </si>
  <si>
    <t>Sozialarbeiter und Forschung</t>
  </si>
  <si>
    <t>Soziales Management</t>
  </si>
  <si>
    <t>NACSW</t>
  </si>
  <si>
    <t>Christlicher Berufsverband</t>
  </si>
  <si>
    <t>CSWA</t>
  </si>
  <si>
    <t>Berufsverband Sucht</t>
  </si>
  <si>
    <t>AASWG</t>
  </si>
  <si>
    <t>Berufsverband Gruppensozialarbeit</t>
  </si>
  <si>
    <t>SSWAA</t>
  </si>
  <si>
    <t>Berufsverband Schulsozialarbeit</t>
  </si>
  <si>
    <t>Social Work Great Britain</t>
  </si>
  <si>
    <t>a) Schools of Social Work</t>
  </si>
  <si>
    <t xml:space="preserve">Rankingplatz University Guide </t>
  </si>
  <si>
    <t>Rankingplatz Guardian</t>
  </si>
  <si>
    <t>England</t>
  </si>
  <si>
    <t>Belfast</t>
  </si>
  <si>
    <t>Lancaster</t>
  </si>
  <si>
    <t>Bath</t>
  </si>
  <si>
    <t xml:space="preserve">BA / BSW </t>
  </si>
  <si>
    <t>MA / MSW</t>
  </si>
  <si>
    <t>Sheffield</t>
  </si>
  <si>
    <t>Falmer</t>
  </si>
  <si>
    <t>Birmingham</t>
  </si>
  <si>
    <t>BA, MA</t>
  </si>
  <si>
    <t>Edinburgh</t>
  </si>
  <si>
    <t>Keele</t>
  </si>
  <si>
    <t>Swansea</t>
  </si>
  <si>
    <t>Glasgow</t>
  </si>
  <si>
    <t>Coventry</t>
  </si>
  <si>
    <t>Leeds</t>
  </si>
  <si>
    <t>Manchester</t>
  </si>
  <si>
    <t>Bradford</t>
  </si>
  <si>
    <t>Dundee</t>
  </si>
  <si>
    <t>Bristol</t>
  </si>
  <si>
    <t>London</t>
  </si>
  <si>
    <t>Nordirland</t>
  </si>
  <si>
    <t>Newcastle Upon 
Tyne</t>
  </si>
  <si>
    <t>Schottland</t>
  </si>
  <si>
    <t>Pontypridd</t>
  </si>
  <si>
    <t>Norwich</t>
  </si>
  <si>
    <t>Bournemouth</t>
  </si>
  <si>
    <t>Wales</t>
  </si>
  <si>
    <t>Oxford</t>
  </si>
  <si>
    <t>Chester</t>
  </si>
  <si>
    <t>b) Weitere relevante Seiten zum Hochschulbereich</t>
  </si>
  <si>
    <t xml:space="preserve">Guardian University Guide </t>
  </si>
  <si>
    <t xml:space="preserve">The Complete University Guide </t>
  </si>
  <si>
    <t>Amtliche Statistiken</t>
  </si>
  <si>
    <t>Dienstleistungen mit hohem qualitativen Standard</t>
  </si>
  <si>
    <t>III. Berufsverbände</t>
  </si>
  <si>
    <t>BASW</t>
  </si>
  <si>
    <t>Berufsverband der Sozialarbeiter in Großbritannien</t>
  </si>
  <si>
    <t>Social Work Canada</t>
  </si>
  <si>
    <t>Ottawa, ON</t>
  </si>
  <si>
    <t>Halifax, NS</t>
  </si>
  <si>
    <t>London, ON</t>
  </si>
  <si>
    <t>Thunder Bay, ON</t>
  </si>
  <si>
    <t>Sudbury, ON</t>
  </si>
  <si>
    <t>Montreal, QC</t>
  </si>
  <si>
    <t>Hamilton, ON</t>
  </si>
  <si>
    <t>St. Johns, NL</t>
  </si>
  <si>
    <t>Vancouver, BC</t>
  </si>
  <si>
    <t>Waterloo, ON</t>
  </si>
  <si>
    <t>Toronto, ON</t>
  </si>
  <si>
    <t>Fredericton, NB</t>
  </si>
  <si>
    <t>Kamloops, BC</t>
  </si>
  <si>
    <t>Calgary, AB</t>
  </si>
  <si>
    <t>Winnipeg, MB</t>
  </si>
  <si>
    <t>Regina, SK</t>
  </si>
  <si>
    <t>Prince George, BC</t>
  </si>
  <si>
    <t>Victoria, BC</t>
  </si>
  <si>
    <t>Windsor, ON</t>
  </si>
  <si>
    <t>b) Französischsprachige Studiengänge</t>
  </si>
  <si>
    <t>Universität / Department mit Link</t>
  </si>
  <si>
    <t>c) Weitere relevante Seiten zum Hochschulbereich</t>
  </si>
  <si>
    <t>Ranking university-list.net</t>
  </si>
  <si>
    <t>MacLeans.ca - Zeitungsranking</t>
  </si>
  <si>
    <t>Datenbank mit Stellenangeboten</t>
  </si>
  <si>
    <t>CASW</t>
  </si>
  <si>
    <t>Berufsverband Bildung</t>
  </si>
  <si>
    <t>Social Work Australia</t>
  </si>
  <si>
    <t>a) Schools of Social Work (Auszug)</t>
  </si>
  <si>
    <t>Department - Link</t>
  </si>
  <si>
    <t>Fernstudium</t>
  </si>
  <si>
    <t>Casuarina, NT</t>
  </si>
  <si>
    <t>Albury, NSW</t>
  </si>
  <si>
    <t>Geelong, VIC</t>
  </si>
  <si>
    <t>Adelaide, SA</t>
  </si>
  <si>
    <t>Townsville, QLD</t>
  </si>
  <si>
    <t xml:space="preserve">Brisbane, QLD </t>
  </si>
  <si>
    <t>Melbourne, VIC</t>
  </si>
  <si>
    <t>Armidale, NSW</t>
  </si>
  <si>
    <t>Sydney, NSW</t>
  </si>
  <si>
    <t>Callaghan, NSW</t>
  </si>
  <si>
    <t xml:space="preserve">Brisbane St. Lucia, QLD </t>
  </si>
  <si>
    <t>Launceston, TAS</t>
  </si>
  <si>
    <t>Sippy Downs, QLD</t>
  </si>
  <si>
    <t>Ranking von university-list.net</t>
  </si>
  <si>
    <t xml:space="preserve">Informationen für Studierende der Sozialen Arbeit </t>
  </si>
  <si>
    <t>AASW</t>
  </si>
  <si>
    <t>Berufsverband der Sozialarbeiter in Australien</t>
  </si>
  <si>
    <t>ACHSSW</t>
  </si>
  <si>
    <t>Councils of Heads of Schools of Social Work</t>
  </si>
  <si>
    <t>Social Work New Zealand</t>
  </si>
  <si>
    <t>Rang</t>
  </si>
  <si>
    <t>Auckland</t>
  </si>
  <si>
    <t>Christchurch</t>
  </si>
  <si>
    <t>Dunedin</t>
  </si>
  <si>
    <t>Palmerston North</t>
  </si>
  <si>
    <t>Hamilton</t>
  </si>
  <si>
    <t>Manukau</t>
  </si>
  <si>
    <t>Rotorua</t>
  </si>
  <si>
    <t>Porirura</t>
  </si>
  <si>
    <t>Hawke's Bay</t>
  </si>
  <si>
    <t>II. Weitere relevante Seiten zur Sozialen Arbeit</t>
  </si>
  <si>
    <t>Arbeit mit Kindern, Jugendlichen und Familien</t>
  </si>
  <si>
    <t>Verband ehrenamtlicher Wohlfahrtsorganisationen</t>
  </si>
  <si>
    <t>Zusammenschluss Soziale Arbeit</t>
  </si>
  <si>
    <t>Berufsverband Psychische Erkrankungen</t>
  </si>
  <si>
    <t>ANZASW</t>
  </si>
  <si>
    <t>Berufsverband der Sozialarbeiter in Neuseeland.</t>
  </si>
  <si>
    <t>Social Work India</t>
  </si>
  <si>
    <t>a) Schools of Social Work – Alphabetische Reihenfolge</t>
  </si>
  <si>
    <t>Kollam</t>
  </si>
  <si>
    <t>BA / BSW</t>
  </si>
  <si>
    <t>Visakhapatnam</t>
  </si>
  <si>
    <t>Master of Science in Social Work</t>
  </si>
  <si>
    <t>Coimbatore</t>
  </si>
  <si>
    <t>Bangalore</t>
  </si>
  <si>
    <t>Mumbai</t>
  </si>
  <si>
    <t>Agra</t>
  </si>
  <si>
    <t>Ahmedabad</t>
  </si>
  <si>
    <t>Gulbarga</t>
  </si>
  <si>
    <t>Indore</t>
  </si>
  <si>
    <t>Cochin</t>
  </si>
  <si>
    <t>Delhi</t>
  </si>
  <si>
    <t>Kurukshetra</t>
  </si>
  <si>
    <t>Kozhikode</t>
  </si>
  <si>
    <t>Mangalagangothri</t>
  </si>
  <si>
    <t>Kallainpur</t>
  </si>
  <si>
    <t>Nagpur</t>
  </si>
  <si>
    <t>Kalamassery</t>
  </si>
  <si>
    <t>Sulur</t>
  </si>
  <si>
    <t>Gujarad</t>
  </si>
  <si>
    <t>Chennai</t>
  </si>
  <si>
    <t>Vadodara</t>
  </si>
  <si>
    <t>New Delhi</t>
  </si>
  <si>
    <t>Lucknow</t>
  </si>
  <si>
    <t>Mysore</t>
  </si>
  <si>
    <t>Pune</t>
  </si>
  <si>
    <t>NISWASS</t>
  </si>
  <si>
    <t>Institut für Soziale Arbeit und Sozialwissenschaften</t>
  </si>
  <si>
    <t>Weiterführende Links zu Universitäten</t>
  </si>
  <si>
    <t>Journal Soziale Arbeit</t>
  </si>
  <si>
    <t>Datenbank mit Jobangeboten</t>
  </si>
  <si>
    <t>NAPSWI</t>
  </si>
  <si>
    <t>Berufsverband der Sozialarbeiter in Indien</t>
  </si>
  <si>
    <t>PSWA</t>
  </si>
  <si>
    <t>Berufsverband professionelle Soziale Arbeit</t>
  </si>
  <si>
    <t>Social Work South Africa</t>
  </si>
  <si>
    <t>a) Schools of Social Work - Alphabetische Reihenfolge</t>
  </si>
  <si>
    <t>Mmabatho</t>
  </si>
  <si>
    <t>Bellville</t>
  </si>
  <si>
    <t>Kapstadt</t>
  </si>
  <si>
    <t>Alice</t>
  </si>
  <si>
    <t>Auckland Park</t>
  </si>
  <si>
    <t>Durban</t>
  </si>
  <si>
    <t>Medunsa</t>
  </si>
  <si>
    <t>Pretoria</t>
  </si>
  <si>
    <t>Matieland</t>
  </si>
  <si>
    <t>Bloemfontein</t>
  </si>
  <si>
    <t xml:space="preserve">BA, MA, Promotion </t>
  </si>
  <si>
    <t>Johannesburg</t>
  </si>
  <si>
    <t>BA, MA Promotion</t>
  </si>
  <si>
    <t>Thohoyandou</t>
  </si>
  <si>
    <t>KwaDlangezwa</t>
  </si>
  <si>
    <t>Übersicht der Hochschulen</t>
  </si>
  <si>
    <t>IEASA</t>
  </si>
  <si>
    <t>Bildung in Südafrika</t>
  </si>
  <si>
    <t>ASASWEI</t>
  </si>
  <si>
    <t>Bildungsinstitute</t>
  </si>
  <si>
    <t>SACSSP</t>
  </si>
  <si>
    <t>Berufsverband Südafrika</t>
  </si>
  <si>
    <t>NACCW</t>
  </si>
  <si>
    <t>Berufsverband Kinderfürsorge</t>
  </si>
  <si>
    <t>Social Work Hong Kong</t>
  </si>
  <si>
    <t>Übersicht über die Social Work Departments</t>
  </si>
  <si>
    <t>HKCSS</t>
  </si>
  <si>
    <t>SWRB</t>
  </si>
  <si>
    <t>Praxis der Sozialen Arbeit</t>
  </si>
  <si>
    <t>HKSWA</t>
  </si>
  <si>
    <t>Berufsverband der Sozialarbeiter in Hong Kong</t>
  </si>
  <si>
    <t xml:space="preserve">in dieser Datei finden Sie eine einführende Auflistung von Links zu Universitäten und Hochschulen im </t>
  </si>
  <si>
    <t>USA, Großbritannien, Kanada, Australien, Neuseeland, Indien, Südafrika und Hong Kong</t>
  </si>
  <si>
    <t>Diese Übersichten wurden in Zusammenarbeit mit Studierenden der Sozialen Arbeit erstellt.</t>
  </si>
  <si>
    <t xml:space="preserve">Zielsetzung dieser Linksammlung ist es auch, auf die weltweite Bedeutung der Wissenschaft der Sozialen Arbeit </t>
  </si>
  <si>
    <t>hinzuweisen und deren Nachweis in der Diskussion mit Fachkollegen zu erleichtern.</t>
  </si>
  <si>
    <t>Zusammenschluss Soziale Arbeit Hong Kong</t>
  </si>
  <si>
    <t>SAASWIPP</t>
  </si>
  <si>
    <t>Top 15 of Social Work Schools</t>
  </si>
  <si>
    <t>Auflistung aller BA-Studiengänge</t>
  </si>
  <si>
    <t>Auflistung aller MA-Studiengänge</t>
  </si>
  <si>
    <t>Promotionsstudiengänge</t>
  </si>
  <si>
    <t>Lincoln</t>
  </si>
  <si>
    <t>Brisbane, Strathfield</t>
  </si>
  <si>
    <t>Interessensverband der Sozialen Arbeit</t>
  </si>
  <si>
    <t>NASW - SA</t>
  </si>
  <si>
    <t>Nationaler Verband der Sozialarbeit in Südafrika</t>
  </si>
  <si>
    <t>Onlinezeitschrift für Studierende und Absolventen</t>
  </si>
  <si>
    <t>Berufsverband; Informationen zu Forschung und Lehre</t>
  </si>
  <si>
    <t>Informationen zur Sozialen Arbeit</t>
  </si>
  <si>
    <t>EASSW</t>
  </si>
  <si>
    <t>Hochschulen und Universitäten für Soziale Arbeit</t>
  </si>
  <si>
    <t>HCPC</t>
  </si>
  <si>
    <t>IFSW</t>
  </si>
  <si>
    <t>Organisation zur Förderung der Sozialen Arbeit</t>
  </si>
  <si>
    <t xml:space="preserve">Informationen zum Studium, beruflichen Perspektiven und Karrieremöglichkeiten </t>
  </si>
  <si>
    <t>Verbesserung der Standards in der Sozialen Arbeit</t>
  </si>
  <si>
    <t>Arbeiten in Canada als Sozialarbeiter</t>
  </si>
  <si>
    <t>Christliche Soziale Arbeit</t>
  </si>
  <si>
    <t xml:space="preserve">Verband für Sozialarbeiter </t>
  </si>
  <si>
    <t>Verhaltenskodex für Sozialarbeiter</t>
  </si>
  <si>
    <t>Informationen zum Beruf</t>
  </si>
  <si>
    <t>Grundlegende Informationen über Soziale Arbeit</t>
  </si>
  <si>
    <t>Jobangebote (NGO, Fundraising, Charity)</t>
  </si>
  <si>
    <t>Berufsverband der Sozialarbeiter in Canada</t>
  </si>
  <si>
    <t>Sault Ste. Marie, ON</t>
  </si>
  <si>
    <t>Abbotsford, BC</t>
  </si>
  <si>
    <t>Studium Soziale Arbeit</t>
  </si>
  <si>
    <t xml:space="preserve">sehr geehrte Studierende, </t>
  </si>
  <si>
    <t xml:space="preserve">sehr geehrte Kollegen, </t>
  </si>
  <si>
    <t>Münzstraße 12, 97070 Würzburg, Email: ralph.amthor@fhws.de</t>
  </si>
  <si>
    <t>Department of Social Work and Social Care</t>
  </si>
  <si>
    <t>Glasgow School of Social Work</t>
  </si>
  <si>
    <t>Kent</t>
  </si>
  <si>
    <t>Faculty of Social Studies</t>
  </si>
  <si>
    <t>Faculty of Medicine and Health</t>
  </si>
  <si>
    <t>Social Work and Communities</t>
  </si>
  <si>
    <t>University of South Wales</t>
  </si>
  <si>
    <t>Department of Psychology, Social Work and Public Health</t>
  </si>
  <si>
    <t>York</t>
  </si>
  <si>
    <t>Stand  2015</t>
  </si>
  <si>
    <t xml:space="preserve">Rankings Schools of Social Work </t>
  </si>
  <si>
    <t>Stand 2015</t>
  </si>
  <si>
    <t>Social care and social work improvement Scotland</t>
  </si>
  <si>
    <t>Northern Ireland Social Care Council</t>
  </si>
  <si>
    <t>British Association of Social Workers</t>
  </si>
  <si>
    <t>Faculty of Social Work</t>
  </si>
  <si>
    <t>Faculty of Professional Schools</t>
  </si>
  <si>
    <t>Ranking by Web Popularity 2013/2014</t>
  </si>
  <si>
    <t>MacLeans - University Ranking 2014</t>
  </si>
  <si>
    <t>Canadian Association for Social Work Education</t>
  </si>
  <si>
    <t>School of Allied Health</t>
  </si>
  <si>
    <t>School of Humanities and Social Sciences</t>
  </si>
  <si>
    <t>Perth, WA</t>
  </si>
  <si>
    <t>School of Occupational Therapy and Social Work</t>
  </si>
  <si>
    <t>School of Health and Social Development</t>
  </si>
  <si>
    <t>School of Psychology and Social Science</t>
  </si>
  <si>
    <t>Joondalup, WA</t>
  </si>
  <si>
    <t>School of Social and Policy Studies</t>
  </si>
  <si>
    <t>Meadowbrook, Southport, QLD</t>
  </si>
  <si>
    <t>Melbourne, Mildura, VIC</t>
  </si>
  <si>
    <t>School of Public Health and Social Work</t>
  </si>
  <si>
    <t>School of Health</t>
  </si>
  <si>
    <t>School of Social Sciences</t>
  </si>
  <si>
    <t>School of Population Health</t>
  </si>
  <si>
    <t>Sidney, NSW</t>
  </si>
  <si>
    <t>School of Social Sciences and Psychology</t>
  </si>
  <si>
    <t>College of Arts</t>
  </si>
  <si>
    <t>Faculty of Arts and Social Sciences</t>
  </si>
  <si>
    <t>School of Health and Social Services</t>
  </si>
  <si>
    <t>Social Practice</t>
  </si>
  <si>
    <t>Waiariki Institute of Technology</t>
  </si>
  <si>
    <t>Faculty of Health, Education &amp; Humanities</t>
  </si>
  <si>
    <t>Faculty of Health</t>
  </si>
  <si>
    <t>Nelson</t>
  </si>
  <si>
    <t>University Ranking New Zealand</t>
  </si>
  <si>
    <t>Social Service Providers Aotearoa</t>
  </si>
  <si>
    <t>Social Development Partners</t>
  </si>
  <si>
    <t>Code of Conduct</t>
  </si>
  <si>
    <t>Department of Social Work</t>
  </si>
  <si>
    <t>Department of Social Development</t>
  </si>
  <si>
    <t>School of Social Work</t>
  </si>
  <si>
    <t>Social Work</t>
  </si>
  <si>
    <t>Andrha University</t>
  </si>
  <si>
    <t>Indore School of Social Work</t>
  </si>
  <si>
    <t>Jai Bharath College</t>
  </si>
  <si>
    <t>Mangalore University</t>
  </si>
  <si>
    <t>Odisha</t>
  </si>
  <si>
    <t>US Graduate School Rankings - Social Work Programs 2013</t>
  </si>
  <si>
    <t>Bureau of Labor Statistics</t>
  </si>
  <si>
    <t>University of the Free State</t>
  </si>
  <si>
    <t>School of Social Work and Social Services</t>
  </si>
  <si>
    <t>Hong Kong Council of Social Service</t>
  </si>
  <si>
    <t>englischsprachigen Raum, und zwar zu folgenden Ländern:</t>
  </si>
  <si>
    <t>Bearbeitungsstand: September 2016 (Aktualisiert von Anna Auer)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</si>
</sst>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\(#,##0.00\);&quot;- &quot;;@\ "/>
    <numFmt numFmtId="165" formatCode="#,##0\ ;\(#,##0\);&quot;- &quot;;@\ "/>
    <numFmt numFmtId="166" formatCode="&quot;$ &quot;#,##0.00\ ;&quot;$ (&quot;#,##0.00\);&quot;$ - &quot;;@\ "/>
    <numFmt numFmtId="167" formatCode="&quot;$ &quot;#,##0\ ;&quot;$ (&quot;#,##0\);&quot;$ - &quot;;@\ "/>
    <numFmt numFmtId="168" formatCode="0\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66">
    <font>
      <sz val="10"/>
      <color indexed="8"/>
      <name val="Arial"/>
      <family val="2"/>
    </font>
    <font>
      <sz val="10"/>
      <name val="Arial"/>
      <family val="0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8"/>
      <name val="Arial"/>
      <family val="2"/>
    </font>
    <font>
      <b/>
      <i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u val="single"/>
      <sz val="14"/>
      <color indexed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u val="single"/>
      <sz val="8"/>
      <color theme="1"/>
      <name val="Arial"/>
      <family val="2"/>
    </font>
    <font>
      <b/>
      <sz val="1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6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168" fontId="0" fillId="0" borderId="0" applyFill="0" applyBorder="0" applyProtection="0">
      <alignment vertical="center"/>
    </xf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8">
    <xf numFmtId="0" fontId="0" fillId="0" borderId="0" xfId="0" applyAlignment="1">
      <alignment vertical="center"/>
    </xf>
    <xf numFmtId="0" fontId="13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15" fillId="34" borderId="0" xfId="0" applyFont="1" applyFill="1" applyAlignment="1">
      <alignment wrapText="1"/>
    </xf>
    <xf numFmtId="0" fontId="13" fillId="35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11" fillId="36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vertical="center"/>
    </xf>
    <xf numFmtId="0" fontId="8" fillId="40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 wrapText="1"/>
    </xf>
    <xf numFmtId="0" fontId="7" fillId="37" borderId="12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10" fillId="40" borderId="10" xfId="52" applyNumberFormat="1" applyFont="1" applyFill="1" applyBorder="1" applyAlignment="1" applyProtection="1">
      <alignment vertical="center"/>
      <protection/>
    </xf>
    <xf numFmtId="0" fontId="17" fillId="39" borderId="10" xfId="52" applyFont="1" applyFill="1" applyBorder="1">
      <alignment vertical="center"/>
    </xf>
    <xf numFmtId="0" fontId="17" fillId="40" borderId="10" xfId="52" applyFont="1" applyFill="1" applyBorder="1">
      <alignment vertical="center"/>
    </xf>
    <xf numFmtId="0" fontId="7" fillId="36" borderId="0" xfId="0" applyFont="1" applyFill="1" applyBorder="1" applyAlignment="1">
      <alignment vertical="center"/>
    </xf>
    <xf numFmtId="0" fontId="0" fillId="36" borderId="11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8" fillId="39" borderId="12" xfId="0" applyFont="1" applyFill="1" applyBorder="1" applyAlignment="1">
      <alignment vertical="center"/>
    </xf>
    <xf numFmtId="0" fontId="0" fillId="40" borderId="12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wrapText="1"/>
    </xf>
    <xf numFmtId="0" fontId="56" fillId="39" borderId="12" xfId="52" applyFont="1" applyFill="1" applyBorder="1">
      <alignment vertical="center"/>
    </xf>
    <xf numFmtId="0" fontId="17" fillId="39" borderId="12" xfId="52" applyFont="1" applyFill="1" applyBorder="1" applyAlignment="1">
      <alignment vertical="center" wrapText="1"/>
    </xf>
    <xf numFmtId="0" fontId="0" fillId="40" borderId="12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7" fillId="37" borderId="16" xfId="0" applyFont="1" applyFill="1" applyBorder="1" applyAlignment="1">
      <alignment vertical="center"/>
    </xf>
    <xf numFmtId="0" fontId="8" fillId="39" borderId="16" xfId="0" applyFont="1" applyFill="1" applyBorder="1" applyAlignment="1">
      <alignment vertical="center"/>
    </xf>
    <xf numFmtId="0" fontId="0" fillId="40" borderId="16" xfId="0" applyFont="1" applyFill="1" applyBorder="1" applyAlignment="1">
      <alignment vertical="center" wrapText="1"/>
    </xf>
    <xf numFmtId="0" fontId="17" fillId="39" borderId="16" xfId="52" applyFont="1" applyFill="1" applyBorder="1">
      <alignment vertical="center"/>
    </xf>
    <xf numFmtId="0" fontId="0" fillId="36" borderId="14" xfId="0" applyFont="1" applyFill="1" applyBorder="1" applyAlignment="1">
      <alignment vertical="center"/>
    </xf>
    <xf numFmtId="0" fontId="17" fillId="39" borderId="12" xfId="52" applyFont="1" applyFill="1" applyBorder="1">
      <alignment vertical="center"/>
    </xf>
    <xf numFmtId="0" fontId="0" fillId="40" borderId="12" xfId="0" applyFont="1" applyFill="1" applyBorder="1" applyAlignment="1">
      <alignment horizontal="center" wrapText="1"/>
    </xf>
    <xf numFmtId="0" fontId="0" fillId="39" borderId="12" xfId="0" applyFont="1" applyFill="1" applyBorder="1" applyAlignment="1">
      <alignment wrapText="1"/>
    </xf>
    <xf numFmtId="0" fontId="56" fillId="40" borderId="10" xfId="52" applyFont="1" applyFill="1" applyBorder="1">
      <alignment vertical="center"/>
    </xf>
    <xf numFmtId="0" fontId="56" fillId="39" borderId="10" xfId="52" applyFont="1" applyFill="1" applyBorder="1">
      <alignment vertical="center"/>
    </xf>
    <xf numFmtId="0" fontId="56" fillId="40" borderId="10" xfId="0" applyFont="1" applyFill="1" applyBorder="1" applyAlignment="1">
      <alignment vertical="center"/>
    </xf>
    <xf numFmtId="0" fontId="56" fillId="40" borderId="12" xfId="52" applyFont="1" applyFill="1" applyBorder="1">
      <alignment vertical="center"/>
    </xf>
    <xf numFmtId="0" fontId="56" fillId="39" borderId="17" xfId="52" applyNumberFormat="1" applyFont="1" applyFill="1" applyBorder="1" applyProtection="1">
      <alignment vertical="center"/>
      <protection/>
    </xf>
    <xf numFmtId="0" fontId="56" fillId="39" borderId="12" xfId="0" applyFont="1" applyFill="1" applyBorder="1" applyAlignment="1">
      <alignment vertical="center" wrapText="1"/>
    </xf>
    <xf numFmtId="0" fontId="56" fillId="40" borderId="12" xfId="0" applyFont="1" applyFill="1" applyBorder="1" applyAlignment="1">
      <alignment vertical="center" wrapText="1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 wrapText="1"/>
    </xf>
    <xf numFmtId="0" fontId="58" fillId="35" borderId="0" xfId="0" applyFont="1" applyFill="1" applyAlignment="1">
      <alignment vertical="center" wrapText="1"/>
    </xf>
    <xf numFmtId="0" fontId="59" fillId="33" borderId="0" xfId="0" applyFont="1" applyFill="1" applyAlignment="1">
      <alignment vertical="center" wrapText="1"/>
    </xf>
    <xf numFmtId="0" fontId="60" fillId="35" borderId="0" xfId="0" applyFont="1" applyFill="1" applyAlignment="1">
      <alignment vertical="center" wrapText="1"/>
    </xf>
    <xf numFmtId="0" fontId="61" fillId="34" borderId="0" xfId="0" applyFont="1" applyFill="1" applyAlignment="1">
      <alignment vertical="center" wrapText="1"/>
    </xf>
    <xf numFmtId="0" fontId="62" fillId="35" borderId="0" xfId="0" applyFont="1" applyFill="1" applyAlignment="1">
      <alignment vertical="center" wrapText="1"/>
    </xf>
    <xf numFmtId="0" fontId="60" fillId="36" borderId="0" xfId="0" applyFont="1" applyFill="1" applyAlignment="1">
      <alignment vertical="center" wrapText="1"/>
    </xf>
    <xf numFmtId="0" fontId="60" fillId="36" borderId="0" xfId="0" applyFont="1" applyFill="1" applyAlignment="1">
      <alignment wrapText="1"/>
    </xf>
    <xf numFmtId="0" fontId="59" fillId="36" borderId="0" xfId="0" applyFont="1" applyFill="1" applyAlignment="1">
      <alignment vertical="center" wrapText="1"/>
    </xf>
    <xf numFmtId="0" fontId="60" fillId="36" borderId="0" xfId="0" applyFont="1" applyFill="1" applyBorder="1" applyAlignment="1">
      <alignment wrapText="1"/>
    </xf>
    <xf numFmtId="0" fontId="59" fillId="42" borderId="10" xfId="0" applyFont="1" applyFill="1" applyBorder="1" applyAlignment="1">
      <alignment wrapText="1"/>
    </xf>
    <xf numFmtId="0" fontId="59" fillId="42" borderId="10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0" fontId="59" fillId="36" borderId="10" xfId="0" applyFont="1" applyFill="1" applyBorder="1" applyAlignment="1">
      <alignment vertical="center" wrapText="1"/>
    </xf>
    <xf numFmtId="0" fontId="60" fillId="38" borderId="10" xfId="0" applyFont="1" applyFill="1" applyBorder="1" applyAlignment="1">
      <alignment wrapText="1"/>
    </xf>
    <xf numFmtId="0" fontId="56" fillId="39" borderId="10" xfId="0" applyFont="1" applyFill="1" applyBorder="1" applyAlignment="1">
      <alignment vertical="center" wrapText="1"/>
    </xf>
    <xf numFmtId="0" fontId="60" fillId="39" borderId="10" xfId="0" applyFont="1" applyFill="1" applyBorder="1" applyAlignment="1">
      <alignment vertical="center" wrapText="1"/>
    </xf>
    <xf numFmtId="0" fontId="60" fillId="40" borderId="10" xfId="0" applyFont="1" applyFill="1" applyBorder="1" applyAlignment="1">
      <alignment horizontal="left" vertical="center" wrapText="1"/>
    </xf>
    <xf numFmtId="0" fontId="56" fillId="36" borderId="0" xfId="0" applyFont="1" applyFill="1" applyBorder="1" applyAlignment="1">
      <alignment vertical="center" wrapText="1"/>
    </xf>
    <xf numFmtId="0" fontId="59" fillId="41" borderId="12" xfId="0" applyFont="1" applyFill="1" applyBorder="1" applyAlignment="1">
      <alignment vertical="center" wrapText="1"/>
    </xf>
    <xf numFmtId="0" fontId="60" fillId="42" borderId="12" xfId="0" applyFont="1" applyFill="1" applyBorder="1" applyAlignment="1">
      <alignment vertical="center" wrapText="1"/>
    </xf>
    <xf numFmtId="0" fontId="56" fillId="40" borderId="10" xfId="0" applyFont="1" applyFill="1" applyBorder="1" applyAlignment="1">
      <alignment vertical="center" wrapText="1"/>
    </xf>
    <xf numFmtId="0" fontId="60" fillId="36" borderId="0" xfId="0" applyFont="1" applyFill="1" applyBorder="1" applyAlignment="1">
      <alignment vertical="center" wrapText="1"/>
    </xf>
    <xf numFmtId="0" fontId="60" fillId="39" borderId="10" xfId="0" applyFont="1" applyFill="1" applyBorder="1" applyAlignment="1">
      <alignment wrapText="1"/>
    </xf>
    <xf numFmtId="0" fontId="60" fillId="40" borderId="10" xfId="0" applyFont="1" applyFill="1" applyBorder="1" applyAlignment="1">
      <alignment wrapText="1"/>
    </xf>
    <xf numFmtId="0" fontId="60" fillId="38" borderId="10" xfId="0" applyFont="1" applyFill="1" applyBorder="1" applyAlignment="1">
      <alignment vertical="center" wrapText="1"/>
    </xf>
    <xf numFmtId="0" fontId="56" fillId="39" borderId="10" xfId="0" applyFont="1" applyFill="1" applyBorder="1" applyAlignment="1">
      <alignment wrapText="1"/>
    </xf>
    <xf numFmtId="0" fontId="60" fillId="40" borderId="10" xfId="0" applyFont="1" applyFill="1" applyBorder="1" applyAlignment="1">
      <alignment vertical="center" wrapText="1"/>
    </xf>
    <xf numFmtId="0" fontId="60" fillId="38" borderId="18" xfId="0" applyFont="1" applyFill="1" applyBorder="1" applyAlignment="1">
      <alignment wrapText="1"/>
    </xf>
    <xf numFmtId="0" fontId="56" fillId="39" borderId="18" xfId="0" applyFont="1" applyFill="1" applyBorder="1" applyAlignment="1">
      <alignment wrapText="1"/>
    </xf>
    <xf numFmtId="0" fontId="56" fillId="40" borderId="10" xfId="0" applyFont="1" applyFill="1" applyBorder="1" applyAlignment="1">
      <alignment wrapText="1"/>
    </xf>
    <xf numFmtId="0" fontId="60" fillId="38" borderId="10" xfId="0" applyFont="1" applyFill="1" applyBorder="1" applyAlignment="1">
      <alignment vertical="top" wrapText="1"/>
    </xf>
    <xf numFmtId="0" fontId="59" fillId="40" borderId="10" xfId="0" applyFont="1" applyFill="1" applyBorder="1" applyAlignment="1">
      <alignment vertical="center" wrapText="1"/>
    </xf>
    <xf numFmtId="0" fontId="60" fillId="38" borderId="19" xfId="0" applyFont="1" applyFill="1" applyBorder="1" applyAlignment="1">
      <alignment wrapText="1"/>
    </xf>
    <xf numFmtId="0" fontId="59" fillId="40" borderId="0" xfId="0" applyFont="1" applyFill="1" applyBorder="1" applyAlignment="1">
      <alignment vertical="center" wrapText="1"/>
    </xf>
    <xf numFmtId="0" fontId="56" fillId="36" borderId="10" xfId="52" applyFont="1" applyFill="1" applyBorder="1">
      <alignment vertical="center"/>
    </xf>
    <xf numFmtId="0" fontId="59" fillId="36" borderId="0" xfId="0" applyFont="1" applyFill="1" applyAlignment="1">
      <alignment vertical="center"/>
    </xf>
    <xf numFmtId="0" fontId="60" fillId="36" borderId="11" xfId="0" applyFont="1" applyFill="1" applyBorder="1" applyAlignment="1">
      <alignment wrapText="1"/>
    </xf>
    <xf numFmtId="0" fontId="60" fillId="36" borderId="13" xfId="0" applyFont="1" applyFill="1" applyBorder="1" applyAlignment="1">
      <alignment wrapText="1"/>
    </xf>
    <xf numFmtId="0" fontId="59" fillId="42" borderId="12" xfId="0" applyFont="1" applyFill="1" applyBorder="1" applyAlignment="1">
      <alignment vertical="center" wrapText="1"/>
    </xf>
    <xf numFmtId="0" fontId="60" fillId="36" borderId="14" xfId="0" applyFont="1" applyFill="1" applyBorder="1" applyAlignment="1">
      <alignment vertical="center" wrapText="1"/>
    </xf>
    <xf numFmtId="0" fontId="60" fillId="40" borderId="12" xfId="0" applyFont="1" applyFill="1" applyBorder="1" applyAlignment="1">
      <alignment vertical="center" wrapText="1"/>
    </xf>
    <xf numFmtId="0" fontId="60" fillId="39" borderId="12" xfId="0" applyFont="1" applyFill="1" applyBorder="1" applyAlignment="1">
      <alignment vertical="center" wrapText="1"/>
    </xf>
    <xf numFmtId="0" fontId="60" fillId="36" borderId="15" xfId="0" applyFont="1" applyFill="1" applyBorder="1" applyAlignment="1">
      <alignment wrapText="1"/>
    </xf>
    <xf numFmtId="0" fontId="61" fillId="43" borderId="0" xfId="0" applyFont="1" applyFill="1" applyAlignment="1">
      <alignment horizontal="left" vertical="center" wrapText="1"/>
    </xf>
    <xf numFmtId="0" fontId="61" fillId="43" borderId="0" xfId="0" applyFont="1" applyFill="1" applyAlignment="1">
      <alignment vertical="center" wrapText="1"/>
    </xf>
    <xf numFmtId="0" fontId="61" fillId="34" borderId="0" xfId="0" applyFont="1" applyFill="1" applyAlignment="1">
      <alignment horizontal="left" vertical="center"/>
    </xf>
    <xf numFmtId="0" fontId="60" fillId="35" borderId="0" xfId="0" applyFont="1" applyFill="1" applyBorder="1" applyAlignment="1">
      <alignment wrapText="1"/>
    </xf>
    <xf numFmtId="0" fontId="61" fillId="43" borderId="0" xfId="0" applyFont="1" applyFill="1" applyAlignment="1">
      <alignment horizontal="left" vertical="center"/>
    </xf>
    <xf numFmtId="0" fontId="62" fillId="36" borderId="0" xfId="0" applyFont="1" applyFill="1" applyAlignment="1">
      <alignment vertical="center" wrapText="1"/>
    </xf>
    <xf numFmtId="0" fontId="63" fillId="36" borderId="0" xfId="0" applyFont="1" applyFill="1" applyAlignment="1">
      <alignment vertical="center" wrapText="1"/>
    </xf>
    <xf numFmtId="0" fontId="64" fillId="36" borderId="15" xfId="52" applyFont="1" applyFill="1" applyBorder="1">
      <alignment vertical="center"/>
    </xf>
    <xf numFmtId="0" fontId="62" fillId="43" borderId="0" xfId="0" applyFont="1" applyFill="1" applyAlignment="1">
      <alignment vertical="center" wrapText="1"/>
    </xf>
    <xf numFmtId="0" fontId="56" fillId="42" borderId="12" xfId="52" applyFont="1" applyFill="1" applyBorder="1">
      <alignment vertical="center"/>
    </xf>
    <xf numFmtId="0" fontId="60" fillId="42" borderId="12" xfId="0" applyFont="1" applyFill="1" applyBorder="1" applyAlignment="1">
      <alignment horizontal="center" vertical="center" wrapText="1"/>
    </xf>
    <xf numFmtId="0" fontId="56" fillId="42" borderId="17" xfId="52" applyFont="1" applyFill="1" applyBorder="1">
      <alignment vertical="center"/>
    </xf>
    <xf numFmtId="0" fontId="60" fillId="42" borderId="17" xfId="0" applyFont="1" applyFill="1" applyBorder="1" applyAlignment="1">
      <alignment horizontal="center" vertical="center" wrapText="1"/>
    </xf>
    <xf numFmtId="0" fontId="60" fillId="42" borderId="17" xfId="0" applyFont="1" applyFill="1" applyBorder="1" applyAlignment="1">
      <alignment vertical="center" wrapText="1"/>
    </xf>
    <xf numFmtId="0" fontId="60" fillId="42" borderId="10" xfId="0" applyFont="1" applyFill="1" applyBorder="1" applyAlignment="1">
      <alignment horizontal="center" vertical="center" wrapText="1"/>
    </xf>
    <xf numFmtId="0" fontId="60" fillId="42" borderId="10" xfId="0" applyFont="1" applyFill="1" applyBorder="1" applyAlignment="1">
      <alignment vertical="center" wrapText="1"/>
    </xf>
    <xf numFmtId="0" fontId="58" fillId="35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wrapText="1"/>
    </xf>
    <xf numFmtId="0" fontId="60" fillId="35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wrapText="1"/>
    </xf>
    <xf numFmtId="0" fontId="62" fillId="35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0" applyFont="1" applyFill="1" applyAlignment="1">
      <alignment wrapText="1"/>
    </xf>
    <xf numFmtId="0" fontId="60" fillId="36" borderId="0" xfId="0" applyFont="1" applyFill="1" applyAlignment="1">
      <alignment vertical="center"/>
    </xf>
    <xf numFmtId="0" fontId="59" fillId="36" borderId="0" xfId="0" applyFont="1" applyFill="1" applyAlignment="1">
      <alignment vertical="center"/>
    </xf>
    <xf numFmtId="0" fontId="59" fillId="36" borderId="10" xfId="0" applyFont="1" applyFill="1" applyBorder="1" applyAlignment="1">
      <alignment vertical="center"/>
    </xf>
    <xf numFmtId="0" fontId="59" fillId="37" borderId="10" xfId="0" applyFont="1" applyFill="1" applyBorder="1" applyAlignment="1">
      <alignment vertical="center"/>
    </xf>
    <xf numFmtId="0" fontId="59" fillId="37" borderId="1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vertical="center"/>
    </xf>
    <xf numFmtId="0" fontId="60" fillId="39" borderId="10" xfId="0" applyFont="1" applyFill="1" applyBorder="1" applyAlignment="1">
      <alignment vertical="center"/>
    </xf>
    <xf numFmtId="0" fontId="60" fillId="40" borderId="10" xfId="0" applyFont="1" applyFill="1" applyBorder="1" applyAlignment="1">
      <alignment horizontal="left" vertical="center"/>
    </xf>
    <xf numFmtId="0" fontId="63" fillId="36" borderId="0" xfId="0" applyFont="1" applyFill="1" applyBorder="1" applyAlignment="1">
      <alignment wrapText="1"/>
    </xf>
    <xf numFmtId="0" fontId="59" fillId="41" borderId="12" xfId="0" applyFont="1" applyFill="1" applyBorder="1" applyAlignment="1">
      <alignment vertical="center"/>
    </xf>
    <xf numFmtId="0" fontId="59" fillId="37" borderId="12" xfId="0" applyFont="1" applyFill="1" applyBorder="1" applyAlignment="1">
      <alignment vertical="center"/>
    </xf>
    <xf numFmtId="0" fontId="60" fillId="37" borderId="12" xfId="0" applyFont="1" applyFill="1" applyBorder="1" applyAlignment="1">
      <alignment vertical="center"/>
    </xf>
    <xf numFmtId="0" fontId="59" fillId="36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60" fillId="36" borderId="10" xfId="0" applyFont="1" applyFill="1" applyBorder="1" applyAlignment="1">
      <alignment vertical="center"/>
    </xf>
    <xf numFmtId="0" fontId="60" fillId="36" borderId="10" xfId="0" applyFont="1" applyFill="1" applyBorder="1" applyAlignment="1">
      <alignment wrapText="1"/>
    </xf>
    <xf numFmtId="0" fontId="60" fillId="40" borderId="19" xfId="0" applyFont="1" applyFill="1" applyBorder="1" applyAlignment="1">
      <alignment horizontal="left" vertical="center"/>
    </xf>
    <xf numFmtId="0" fontId="60" fillId="40" borderId="10" xfId="0" applyFont="1" applyFill="1" applyBorder="1" applyAlignment="1">
      <alignment vertical="center"/>
    </xf>
    <xf numFmtId="0" fontId="60" fillId="40" borderId="12" xfId="0" applyFont="1" applyFill="1" applyBorder="1" applyAlignment="1">
      <alignment wrapText="1"/>
    </xf>
    <xf numFmtId="0" fontId="62" fillId="34" borderId="0" xfId="0" applyFont="1" applyFill="1" applyAlignment="1">
      <alignment vertical="center"/>
    </xf>
    <xf numFmtId="0" fontId="60" fillId="43" borderId="0" xfId="0" applyFont="1" applyFill="1" applyAlignment="1">
      <alignment wrapText="1"/>
    </xf>
    <xf numFmtId="0" fontId="60" fillId="36" borderId="10" xfId="0" applyFont="1" applyFill="1" applyBorder="1" applyAlignment="1">
      <alignment horizontal="left" wrapText="1"/>
    </xf>
    <xf numFmtId="0" fontId="60" fillId="40" borderId="10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wrapText="1"/>
    </xf>
    <xf numFmtId="0" fontId="60" fillId="40" borderId="12" xfId="0" applyFont="1" applyFill="1" applyBorder="1" applyAlignment="1">
      <alignment horizontal="left" vertical="center" wrapText="1"/>
    </xf>
    <xf numFmtId="0" fontId="63" fillId="36" borderId="11" xfId="0" applyFont="1" applyFill="1" applyBorder="1" applyAlignment="1">
      <alignment horizontal="left" vertical="center" wrapText="1"/>
    </xf>
    <xf numFmtId="0" fontId="60" fillId="37" borderId="12" xfId="0" applyFont="1" applyFill="1" applyBorder="1" applyAlignment="1">
      <alignment vertical="center" wrapText="1"/>
    </xf>
    <xf numFmtId="0" fontId="59" fillId="37" borderId="10" xfId="0" applyFont="1" applyFill="1" applyBorder="1" applyAlignment="1">
      <alignment vertical="center" wrapText="1"/>
    </xf>
    <xf numFmtId="0" fontId="61" fillId="34" borderId="0" xfId="0" applyFont="1" applyFill="1" applyAlignment="1">
      <alignment vertical="center"/>
    </xf>
    <xf numFmtId="0" fontId="62" fillId="34" borderId="0" xfId="0" applyFont="1" applyFill="1" applyAlignment="1">
      <alignment vertical="center" wrapText="1"/>
    </xf>
    <xf numFmtId="0" fontId="60" fillId="40" borderId="12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59" fillId="40" borderId="12" xfId="0" applyFont="1" applyFill="1" applyBorder="1" applyAlignment="1">
      <alignment vertical="center" wrapText="1"/>
    </xf>
    <xf numFmtId="0" fontId="60" fillId="39" borderId="1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 horizontal="right" vertical="center" wrapText="1"/>
    </xf>
    <xf numFmtId="0" fontId="60" fillId="36" borderId="14" xfId="0" applyFont="1" applyFill="1" applyBorder="1" applyAlignment="1">
      <alignment wrapText="1"/>
    </xf>
    <xf numFmtId="0" fontId="60" fillId="40" borderId="20" xfId="0" applyFont="1" applyFill="1" applyBorder="1" applyAlignment="1">
      <alignment vertical="center" wrapText="1"/>
    </xf>
    <xf numFmtId="0" fontId="56" fillId="39" borderId="15" xfId="52" applyFont="1" applyFill="1" applyBorder="1">
      <alignment vertical="center"/>
    </xf>
    <xf numFmtId="0" fontId="60" fillId="40" borderId="0" xfId="0" applyFont="1" applyFill="1" applyBorder="1" applyAlignment="1">
      <alignment vertical="center" wrapText="1"/>
    </xf>
    <xf numFmtId="0" fontId="59" fillId="36" borderId="10" xfId="0" applyFont="1" applyFill="1" applyBorder="1" applyAlignment="1">
      <alignment wrapText="1"/>
    </xf>
    <xf numFmtId="0" fontId="59" fillId="37" borderId="21" xfId="0" applyFont="1" applyFill="1" applyBorder="1" applyAlignment="1">
      <alignment vertical="center" wrapText="1"/>
    </xf>
    <xf numFmtId="0" fontId="56" fillId="37" borderId="22" xfId="52" applyFont="1" applyFill="1" applyBorder="1">
      <alignment vertical="center"/>
    </xf>
    <xf numFmtId="0" fontId="65" fillId="33" borderId="0" xfId="0" applyFont="1" applyFill="1" applyAlignment="1">
      <alignment vertical="center" wrapText="1"/>
    </xf>
    <xf numFmtId="0" fontId="59" fillId="42" borderId="10" xfId="0" applyFont="1" applyFill="1" applyBorder="1" applyAlignment="1">
      <alignment horizontal="left" vertical="center" wrapText="1"/>
    </xf>
    <xf numFmtId="0" fontId="59" fillId="43" borderId="0" xfId="0" applyFont="1" applyFill="1" applyAlignment="1">
      <alignment vertical="center"/>
    </xf>
    <xf numFmtId="0" fontId="63" fillId="43" borderId="0" xfId="0" applyFont="1" applyFill="1" applyAlignment="1">
      <alignment vertical="center" wrapText="1"/>
    </xf>
    <xf numFmtId="0" fontId="59" fillId="43" borderId="0" xfId="0" applyFont="1" applyFill="1" applyAlignment="1">
      <alignment vertical="center" wrapText="1"/>
    </xf>
    <xf numFmtId="0" fontId="60" fillId="36" borderId="0" xfId="0" applyFont="1" applyFill="1" applyBorder="1" applyAlignment="1">
      <alignment horizontal="left" vertical="center" wrapText="1"/>
    </xf>
    <xf numFmtId="0" fontId="62" fillId="35" borderId="0" xfId="0" applyFont="1" applyFill="1" applyBorder="1" applyAlignment="1">
      <alignment wrapText="1"/>
    </xf>
    <xf numFmtId="0" fontId="63" fillId="43" borderId="0" xfId="0" applyFont="1" applyFill="1" applyAlignment="1">
      <alignment horizontal="left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56" fillId="40" borderId="23" xfId="52" applyFont="1" applyFill="1" applyBorder="1">
      <alignment vertical="center"/>
    </xf>
    <xf numFmtId="0" fontId="56" fillId="39" borderId="24" xfId="0" applyFont="1" applyFill="1" applyBorder="1" applyAlignment="1">
      <alignment vertical="center" wrapText="1"/>
    </xf>
    <xf numFmtId="0" fontId="56" fillId="40" borderId="0" xfId="52" applyFont="1" applyFill="1" applyBorder="1">
      <alignment vertical="center"/>
    </xf>
    <xf numFmtId="0" fontId="56" fillId="39" borderId="12" xfId="52" applyNumberFormat="1" applyFont="1" applyFill="1" applyBorder="1" applyAlignment="1" applyProtection="1">
      <alignment vertical="center" wrapText="1"/>
      <protection/>
    </xf>
    <xf numFmtId="0" fontId="56" fillId="40" borderId="12" xfId="52" applyNumberFormat="1" applyFont="1" applyFill="1" applyBorder="1" applyProtection="1">
      <alignment vertical="center"/>
      <protection/>
    </xf>
    <xf numFmtId="0" fontId="60" fillId="40" borderId="10" xfId="0" applyFont="1" applyFill="1" applyBorder="1" applyAlignment="1">
      <alignment horizontal="center" wrapText="1"/>
    </xf>
    <xf numFmtId="0" fontId="59" fillId="42" borderId="17" xfId="0" applyFont="1" applyFill="1" applyBorder="1" applyAlignment="1">
      <alignment vertical="center" wrapText="1"/>
    </xf>
    <xf numFmtId="0" fontId="59" fillId="36" borderId="14" xfId="0" applyFont="1" applyFill="1" applyBorder="1" applyAlignment="1">
      <alignment vertical="center" wrapText="1"/>
    </xf>
    <xf numFmtId="0" fontId="60" fillId="39" borderId="12" xfId="0" applyFont="1" applyFill="1" applyBorder="1" applyAlignment="1">
      <alignment horizontal="left" vertical="center" wrapText="1"/>
    </xf>
    <xf numFmtId="0" fontId="60" fillId="36" borderId="14" xfId="0" applyFont="1" applyFill="1" applyBorder="1" applyAlignment="1">
      <alignment horizontal="left" vertical="center" wrapText="1"/>
    </xf>
    <xf numFmtId="0" fontId="59" fillId="42" borderId="25" xfId="0" applyFont="1" applyFill="1" applyBorder="1" applyAlignment="1">
      <alignment vertical="center" wrapText="1"/>
    </xf>
    <xf numFmtId="0" fontId="60" fillId="36" borderId="26" xfId="0" applyFont="1" applyFill="1" applyBorder="1" applyAlignment="1">
      <alignment vertical="center" wrapText="1"/>
    </xf>
    <xf numFmtId="0" fontId="60" fillId="40" borderId="27" xfId="0" applyFont="1" applyFill="1" applyBorder="1" applyAlignment="1">
      <alignment vertical="center" wrapText="1"/>
    </xf>
    <xf numFmtId="0" fontId="61" fillId="34" borderId="0" xfId="0" applyFont="1" applyFill="1" applyAlignment="1">
      <alignment horizontal="left" vertical="center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[0]" xfId="43"/>
    <cellStyle name="Currency" xfId="44"/>
    <cellStyle name="Currency[0]" xfId="45"/>
    <cellStyle name="Comma [0]" xfId="46"/>
    <cellStyle name="Eingabe" xfId="47"/>
    <cellStyle name="Ergebnis" xfId="48"/>
    <cellStyle name="Erklärender Text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Percent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ph.amthor@fhws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ity-list.net/us/rank/univ-20131110.htm" TargetMode="External" /><Relationship Id="rId2" Type="http://schemas.openxmlformats.org/officeDocument/2006/relationships/hyperlink" Target="http://www.bls.gov/ooh/community-and-social-service/social-workers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ssex.ac.uk/socialwork/index" TargetMode="External" /><Relationship Id="rId2" Type="http://schemas.openxmlformats.org/officeDocument/2006/relationships/hyperlink" Target="http://www2.warwick.ac.uk/fac/soc/" TargetMode="External" /><Relationship Id="rId3" Type="http://schemas.openxmlformats.org/officeDocument/2006/relationships/hyperlink" Target="http://medhealth.leeds.ac.uk/healthcare" TargetMode="External" /><Relationship Id="rId4" Type="http://schemas.openxmlformats.org/officeDocument/2006/relationships/hyperlink" Target="https://www.northumbria.ac.uk/about-us/academic-departments/social-work-and-communities/" TargetMode="External" /><Relationship Id="rId5" Type="http://schemas.openxmlformats.org/officeDocument/2006/relationships/hyperlink" Target="http://www.southwales.ac.uk/" TargetMode="External" /><Relationship Id="rId6" Type="http://schemas.openxmlformats.org/officeDocument/2006/relationships/hyperlink" Target="http://www.strath.ac.uk/humanities/schoolofsocialworksocialpolicy/" TargetMode="External" /><Relationship Id="rId7" Type="http://schemas.openxmlformats.org/officeDocument/2006/relationships/hyperlink" Target="http://pswph.brookes.ac.uk/" TargetMode="External" /><Relationship Id="rId8" Type="http://schemas.openxmlformats.org/officeDocument/2006/relationships/hyperlink" Target="http://www.theguardian.com/education/ng-interactive/2014/jun/03/university-guide-2015-league-table-for-social-work" TargetMode="External" /><Relationship Id="rId9" Type="http://schemas.openxmlformats.org/officeDocument/2006/relationships/hyperlink" Target="http://www.thecompleteuniversityguide.co.uk/league-tables/rankings?s=Social+Work" TargetMode="External" /><Relationship Id="rId10" Type="http://schemas.openxmlformats.org/officeDocument/2006/relationships/hyperlink" Target="http://www.scswis.com/" TargetMode="External" /><Relationship Id="rId11" Type="http://schemas.openxmlformats.org/officeDocument/2006/relationships/hyperlink" Target="http://www.niscc.info/" TargetMode="External" /><Relationship Id="rId12" Type="http://schemas.openxmlformats.org/officeDocument/2006/relationships/hyperlink" Target="http://www.basw.co.uk/" TargetMode="External" /><Relationship Id="rId13" Type="http://schemas.openxmlformats.org/officeDocument/2006/relationships/hyperlink" Target="http://www.southwales.ac.uk/study/subjects/social-work-social-care/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ocialwork.utoronto.ca/" TargetMode="External" /><Relationship Id="rId2" Type="http://schemas.openxmlformats.org/officeDocument/2006/relationships/hyperlink" Target="https://laurentian.ca/faculty-health" TargetMode="External" /><Relationship Id="rId3" Type="http://schemas.openxmlformats.org/officeDocument/2006/relationships/hyperlink" Target="http://www.university-list.net/canada/rank/univ-9001.htm" TargetMode="External" /><Relationship Id="rId4" Type="http://schemas.openxmlformats.org/officeDocument/2006/relationships/hyperlink" Target="http://www.macleans.ca/rankings/" TargetMode="External" /><Relationship Id="rId5" Type="http://schemas.openxmlformats.org/officeDocument/2006/relationships/hyperlink" Target="http://caswe-acfts.ca/about-us/mission/" TargetMode="External" /><Relationship Id="rId6" Type="http://schemas.openxmlformats.org/officeDocument/2006/relationships/hyperlink" Target="http://www.ufv.ca/swhs/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.au/about_acu/faculties,_institutes_and_centres/health_sciences/schools/allied_health" TargetMode="External" /><Relationship Id="rId2" Type="http://schemas.openxmlformats.org/officeDocument/2006/relationships/hyperlink" Target="https://www.csu.edu.au/faculty/arts/humss" TargetMode="External" /><Relationship Id="rId3" Type="http://schemas.openxmlformats.org/officeDocument/2006/relationships/hyperlink" Target="http://healthsciences.curtin.edu.au/teaching/otsw_home.cfm" TargetMode="External" /><Relationship Id="rId4" Type="http://schemas.openxmlformats.org/officeDocument/2006/relationships/hyperlink" Target="http://www.deakin.edu.au/health/hsd/" TargetMode="External" /><Relationship Id="rId5" Type="http://schemas.openxmlformats.org/officeDocument/2006/relationships/hyperlink" Target="http://www.ecu.edu.au/schools/psychology-and-social-science/overview" TargetMode="External" /><Relationship Id="rId6" Type="http://schemas.openxmlformats.org/officeDocument/2006/relationships/hyperlink" Target="http://www.flinders.edu.au/sabs/ssps/" TargetMode="External" /><Relationship Id="rId7" Type="http://schemas.openxmlformats.org/officeDocument/2006/relationships/hyperlink" Target="https://www.qut.edu.au/health/about/schools/school-of-public-health-and-social-work" TargetMode="External" /><Relationship Id="rId8" Type="http://schemas.openxmlformats.org/officeDocument/2006/relationships/hyperlink" Target="http://www.une.edu.au/about-une/academic-schools/school-of-health" TargetMode="External" /><Relationship Id="rId9" Type="http://schemas.openxmlformats.org/officeDocument/2006/relationships/hyperlink" Target="http://www.usc.edu.au/university/faculties-and-divisions/faculty-of-arts-and-business/school-of-social-sciences" TargetMode="External" /><Relationship Id="rId10" Type="http://schemas.openxmlformats.org/officeDocument/2006/relationships/hyperlink" Target="http://www.sph.uwa.edu.au/" TargetMode="External" /><Relationship Id="rId11" Type="http://schemas.openxmlformats.org/officeDocument/2006/relationships/hyperlink" Target="http://www.uws.edu.au/ssap" TargetMode="External" /><Relationship Id="rId12" Type="http://schemas.openxmlformats.org/officeDocument/2006/relationships/hyperlink" Target="https://www.cqu.edu.au/courses-and-programs/study-areas/psychology,-social-work-and-community-services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coln.ac.uk/home/" TargetMode="External" /><Relationship Id="rId2" Type="http://schemas.openxmlformats.org/officeDocument/2006/relationships/hyperlink" Target="http://www.arts.canterbury.ac.nz/sowk-hsrv/index.shtml" TargetMode="External" /><Relationship Id="rId3" Type="http://schemas.openxmlformats.org/officeDocument/2006/relationships/hyperlink" Target="http://www.waikato.ac.nz/fass/" TargetMode="External" /><Relationship Id="rId4" Type="http://schemas.openxmlformats.org/officeDocument/2006/relationships/hyperlink" Target="http://www.massey.ac.nz/massey/learning/colleges/college-of-health/school-health-social-services/school-health-social-services_home.cfm" TargetMode="External" /><Relationship Id="rId5" Type="http://schemas.openxmlformats.org/officeDocument/2006/relationships/hyperlink" Target="http://www.unitec.ac.nz/about-us/contact-us/academic-departments/social-practice" TargetMode="External" /><Relationship Id="rId6" Type="http://schemas.openxmlformats.org/officeDocument/2006/relationships/hyperlink" Target="https://www.manukau.ac.nz/study-options/areas-of-study/social-services" TargetMode="External" /><Relationship Id="rId7" Type="http://schemas.openxmlformats.org/officeDocument/2006/relationships/hyperlink" Target="http://www.waiariki.ac.nz/home" TargetMode="External" /><Relationship Id="rId8" Type="http://schemas.openxmlformats.org/officeDocument/2006/relationships/hyperlink" Target="http://www.waiariki.ac.nz/about-us/academies-and-faculties/faculty-of-health-education-and-humanities" TargetMode="External" /><Relationship Id="rId9" Type="http://schemas.openxmlformats.org/officeDocument/2006/relationships/hyperlink" Target="http://www.whitireia.ac.nz/about/Pages/FacultyofHealth.aspx" TargetMode="External" /><Relationship Id="rId10" Type="http://schemas.openxmlformats.org/officeDocument/2006/relationships/hyperlink" Target="http://www.university-list.net/New-Zealand/rank/univ-100001.html" TargetMode="External" /><Relationship Id="rId11" Type="http://schemas.openxmlformats.org/officeDocument/2006/relationships/hyperlink" Target="http://www.sspa.org.nz/" TargetMode="External" /><Relationship Id="rId12" Type="http://schemas.openxmlformats.org/officeDocument/2006/relationships/hyperlink" Target="http://nzccss.org.nz/" TargetMode="External" /><Relationship Id="rId13" Type="http://schemas.openxmlformats.org/officeDocument/2006/relationships/hyperlink" Target="http://www.socialdevelopment.org.nz/" TargetMode="External" /><Relationship Id="rId14" Type="http://schemas.openxmlformats.org/officeDocument/2006/relationships/hyperlink" Target="http://www.swrb.govt.nz/complaints/code-of-conduct" TargetMode="Externa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iss.edu/" TargetMode="External" /><Relationship Id="rId2" Type="http://schemas.openxmlformats.org/officeDocument/2006/relationships/hyperlink" Target="http://www.amrita.edu/school/socialwork" TargetMode="External" /><Relationship Id="rId3" Type="http://schemas.openxmlformats.org/officeDocument/2006/relationships/hyperlink" Target="http://www.andhrauniversity.edu.in/" TargetMode="External" /><Relationship Id="rId4" Type="http://schemas.openxmlformats.org/officeDocument/2006/relationships/hyperlink" Target="http://isswindore.org/" TargetMode="External" /><Relationship Id="rId5" Type="http://schemas.openxmlformats.org/officeDocument/2006/relationships/hyperlink" Target="http://isswindore.org/academics/bachelor-of-social-work/" TargetMode="External" /><Relationship Id="rId6" Type="http://schemas.openxmlformats.org/officeDocument/2006/relationships/hyperlink" Target="http://www.jaibharathcollege.com/aboutus-arts.html" TargetMode="External" /><Relationship Id="rId7" Type="http://schemas.openxmlformats.org/officeDocument/2006/relationships/hyperlink" Target="http://www.jaibharathcollege.com/faculty-socialwork.html" TargetMode="External" /><Relationship Id="rId8" Type="http://schemas.openxmlformats.org/officeDocument/2006/relationships/hyperlink" Target="http://www.mangaloreuniversity.ac.in/" TargetMode="External" /><Relationship Id="rId9" Type="http://schemas.openxmlformats.org/officeDocument/2006/relationships/hyperlink" Target="http://www.mangaloreuniversity.ac.in/social-work" TargetMode="External" /><Relationship Id="rId10" Type="http://schemas.openxmlformats.org/officeDocument/2006/relationships/hyperlink" Target="http://www.milagreskallianpur.com/msw-2/" TargetMode="External" /><Relationship Id="rId11" Type="http://schemas.openxmlformats.org/officeDocument/2006/relationships/hyperlink" Target="http://rvscas.ac.in/socialwork/about-social.php" TargetMode="External" /><Relationship Id="rId12" Type="http://schemas.openxmlformats.org/officeDocument/2006/relationships/hyperlink" Target="http://www.du.ac.in/du/index.php?page=social-work" TargetMode="External" /><Relationship Id="rId13" Type="http://schemas.openxmlformats.org/officeDocument/2006/relationships/hyperlink" Target="http://www.viswass.org/department-of-social-work" TargetMode="External" /><Relationship Id="rId14" Type="http://schemas.openxmlformats.org/officeDocument/2006/relationships/hyperlink" Target="http://www.napswi.org/" TargetMode="External" /><Relationship Id="rId15" Type="http://schemas.openxmlformats.org/officeDocument/2006/relationships/hyperlink" Target="http://www.lissah.com/" TargetMode="External" /><Relationship Id="rId1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wc.ac.za/Faculties/CHS/social%20work/Pages/default.aspx" TargetMode="External" /><Relationship Id="rId2" Type="http://schemas.openxmlformats.org/officeDocument/2006/relationships/hyperlink" Target="http://www.socialdevelopment.uct.ac.za/" TargetMode="External" /><Relationship Id="rId3" Type="http://schemas.openxmlformats.org/officeDocument/2006/relationships/hyperlink" Target="http://www.ufs.ac.za/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kcss.org.hk/e/default.as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="90" zoomScaleNormal="90" zoomScalePageLayoutView="0" workbookViewId="0" topLeftCell="A1">
      <selection activeCell="A22" sqref="A22"/>
    </sheetView>
  </sheetViews>
  <sheetFormatPr defaultColWidth="11.421875" defaultRowHeight="12.75"/>
  <cols>
    <col min="1" max="1" width="122.7109375" style="18" customWidth="1"/>
    <col min="2" max="2" width="15.57421875" style="18" customWidth="1"/>
    <col min="3" max="3" width="50.8515625" style="18" customWidth="1"/>
    <col min="4" max="16384" width="11.421875" style="18" customWidth="1"/>
  </cols>
  <sheetData>
    <row r="1" spans="1:8" s="12" customFormat="1" ht="12.75" customHeight="1">
      <c r="A1" s="6"/>
      <c r="B1" s="6"/>
      <c r="C1" s="6"/>
      <c r="D1" s="6"/>
      <c r="E1" s="6"/>
      <c r="F1" s="6"/>
      <c r="G1" s="6"/>
      <c r="H1" s="6"/>
    </row>
    <row r="2" spans="1:8" s="12" customFormat="1" ht="24.75" customHeight="1">
      <c r="A2" s="13" t="s">
        <v>0</v>
      </c>
      <c r="B2" s="13"/>
      <c r="C2" s="13"/>
      <c r="D2" s="13"/>
      <c r="E2" s="14"/>
      <c r="F2" s="14"/>
      <c r="G2" s="14"/>
      <c r="H2" s="14"/>
    </row>
    <row r="3" spans="1:8" s="12" customFormat="1" ht="10.5" customHeight="1">
      <c r="A3" s="14"/>
      <c r="B3" s="14"/>
      <c r="C3" s="14"/>
      <c r="D3" s="14"/>
      <c r="E3" s="14"/>
      <c r="F3" s="14"/>
      <c r="G3" s="14"/>
      <c r="H3" s="14"/>
    </row>
    <row r="4" spans="1:8" s="12" customFormat="1" ht="18" customHeight="1">
      <c r="A4" s="15" t="s">
        <v>1</v>
      </c>
      <c r="B4" s="15"/>
      <c r="C4" s="15"/>
      <c r="D4" s="15"/>
      <c r="E4" s="15"/>
      <c r="F4" s="15"/>
      <c r="G4" s="15"/>
      <c r="H4" s="15"/>
    </row>
    <row r="5" spans="1:8" ht="14.25" customHeight="1">
      <c r="A5" s="19"/>
      <c r="B5" s="19"/>
      <c r="C5" s="19"/>
      <c r="D5" s="19"/>
      <c r="E5" s="19"/>
      <c r="F5" s="19"/>
      <c r="G5" s="19"/>
      <c r="H5" s="19"/>
    </row>
    <row r="6" s="17" customFormat="1" ht="13.5" customHeight="1">
      <c r="A6" s="17" t="s">
        <v>4</v>
      </c>
    </row>
    <row r="7" s="17" customFormat="1" ht="13.5" customHeight="1"/>
    <row r="8" spans="1:8" ht="12.75" customHeight="1">
      <c r="A8" s="17"/>
      <c r="B8" s="17"/>
      <c r="C8" s="17"/>
      <c r="D8" s="17"/>
      <c r="E8" s="17"/>
      <c r="F8" s="17"/>
      <c r="G8" s="17"/>
      <c r="H8" s="17"/>
    </row>
    <row r="9" s="20" customFormat="1" ht="12.75" customHeight="1">
      <c r="A9" s="20" t="s">
        <v>5</v>
      </c>
    </row>
    <row r="10" s="20" customFormat="1" ht="12.75" customHeight="1">
      <c r="A10" s="20" t="s">
        <v>299</v>
      </c>
    </row>
    <row r="11" spans="1:8" ht="15.75" customHeight="1">
      <c r="A11" s="20" t="s">
        <v>298</v>
      </c>
      <c r="B11" s="20"/>
      <c r="C11" s="20"/>
      <c r="D11" s="17"/>
      <c r="E11" s="17"/>
      <c r="F11" s="17"/>
      <c r="G11" s="17"/>
      <c r="H11" s="17"/>
    </row>
    <row r="12" spans="1:8" ht="15.75" customHeight="1">
      <c r="A12" s="20"/>
      <c r="B12" s="20"/>
      <c r="C12" s="20"/>
      <c r="D12" s="17"/>
      <c r="E12" s="17"/>
      <c r="F12" s="17"/>
      <c r="G12" s="17"/>
      <c r="H12" s="17"/>
    </row>
    <row r="13" spans="1:8" ht="15.75" customHeight="1">
      <c r="A13" s="20" t="s">
        <v>261</v>
      </c>
      <c r="B13" s="20"/>
      <c r="C13" s="20"/>
      <c r="D13" s="17"/>
      <c r="E13" s="17"/>
      <c r="F13" s="17"/>
      <c r="G13" s="17"/>
      <c r="H13" s="17"/>
    </row>
    <row r="14" spans="1:8" ht="15.75" customHeight="1">
      <c r="A14" s="20" t="s">
        <v>363</v>
      </c>
      <c r="B14" s="20"/>
      <c r="C14" s="20"/>
      <c r="D14" s="17"/>
      <c r="E14" s="17"/>
      <c r="F14" s="17"/>
      <c r="G14" s="17"/>
      <c r="H14" s="17"/>
    </row>
    <row r="15" spans="1:8" ht="15.75" customHeight="1">
      <c r="A15" s="20"/>
      <c r="B15" s="20"/>
      <c r="C15" s="20"/>
      <c r="D15" s="17"/>
      <c r="E15" s="17"/>
      <c r="F15" s="17"/>
      <c r="G15" s="17"/>
      <c r="H15" s="17"/>
    </row>
    <row r="16" spans="1:8" ht="15.75" customHeight="1">
      <c r="A16" s="21" t="s">
        <v>262</v>
      </c>
      <c r="C16" s="20"/>
      <c r="D16" s="17"/>
      <c r="E16" s="17"/>
      <c r="F16" s="17"/>
      <c r="G16" s="17"/>
      <c r="H16" s="17"/>
    </row>
    <row r="17" spans="1:8" ht="15.75" customHeight="1">
      <c r="A17" s="21"/>
      <c r="C17" s="20"/>
      <c r="D17" s="17"/>
      <c r="E17" s="17"/>
      <c r="F17" s="17"/>
      <c r="G17" s="17"/>
      <c r="H17" s="17"/>
    </row>
    <row r="18" spans="1:8" ht="15.75" customHeight="1">
      <c r="A18" s="20" t="s">
        <v>263</v>
      </c>
      <c r="B18" s="20"/>
      <c r="C18" s="20"/>
      <c r="D18" s="17"/>
      <c r="E18" s="17"/>
      <c r="F18" s="17"/>
      <c r="G18" s="17"/>
      <c r="H18" s="17"/>
    </row>
    <row r="19" spans="1:8" ht="15.75" customHeight="1">
      <c r="A19" s="20" t="s">
        <v>264</v>
      </c>
      <c r="B19" s="20"/>
      <c r="C19" s="20"/>
      <c r="D19" s="17"/>
      <c r="E19" s="17"/>
      <c r="F19" s="17"/>
      <c r="G19" s="17"/>
      <c r="H19" s="17"/>
    </row>
    <row r="20" spans="1:8" ht="15.75" customHeight="1">
      <c r="A20" s="20" t="s">
        <v>265</v>
      </c>
      <c r="B20" s="20"/>
      <c r="C20" s="20"/>
      <c r="D20" s="17"/>
      <c r="E20" s="17"/>
      <c r="F20" s="17"/>
      <c r="G20" s="17"/>
      <c r="H20" s="17"/>
    </row>
    <row r="21" spans="1:8" ht="15.75" customHeight="1">
      <c r="A21" s="20"/>
      <c r="B21" s="20"/>
      <c r="C21" s="20"/>
      <c r="D21" s="17"/>
      <c r="E21" s="17"/>
      <c r="F21" s="17"/>
      <c r="G21" s="17"/>
      <c r="H21" s="17"/>
    </row>
    <row r="22" spans="1:8" ht="15.75" customHeight="1">
      <c r="A22" s="20" t="s">
        <v>364</v>
      </c>
      <c r="B22" s="20"/>
      <c r="C22" s="20"/>
      <c r="D22" s="17"/>
      <c r="E22" s="17"/>
      <c r="F22" s="17"/>
      <c r="G22" s="17"/>
      <c r="H22" s="17"/>
    </row>
    <row r="23" spans="1:8" ht="15.75" customHeight="1">
      <c r="A23" s="20"/>
      <c r="B23" s="20"/>
      <c r="C23" s="20"/>
      <c r="D23" s="17"/>
      <c r="E23" s="17"/>
      <c r="F23" s="17"/>
      <c r="G23" s="17"/>
      <c r="H23" s="17"/>
    </row>
    <row r="24" spans="1:8" ht="15.75" customHeight="1">
      <c r="A24" s="20" t="s">
        <v>6</v>
      </c>
      <c r="B24" s="20"/>
      <c r="C24" s="20"/>
      <c r="D24" s="17"/>
      <c r="E24" s="17"/>
      <c r="F24" s="17"/>
      <c r="G24" s="17"/>
      <c r="H24" s="17"/>
    </row>
    <row r="25" spans="1:8" ht="12.75" customHeight="1">
      <c r="A25" s="17" t="s">
        <v>2</v>
      </c>
      <c r="B25" s="17"/>
      <c r="C25" s="17"/>
      <c r="D25" s="17"/>
      <c r="E25" s="17"/>
      <c r="F25" s="17"/>
      <c r="G25" s="17"/>
      <c r="H25" s="17"/>
    </row>
    <row r="26" spans="1:8" ht="12.75" customHeight="1">
      <c r="A26" s="17" t="s">
        <v>3</v>
      </c>
      <c r="B26" s="17"/>
      <c r="C26" s="17"/>
      <c r="D26" s="17"/>
      <c r="E26" s="17"/>
      <c r="F26" s="17"/>
      <c r="G26" s="17"/>
      <c r="H26" s="17"/>
    </row>
    <row r="27" spans="1:8" ht="12.75" customHeight="1">
      <c r="A27" s="17" t="s">
        <v>300</v>
      </c>
      <c r="B27" s="17"/>
      <c r="C27" s="17"/>
      <c r="D27" s="17"/>
      <c r="E27" s="17"/>
      <c r="F27" s="17"/>
      <c r="G27" s="17"/>
      <c r="H27" s="17"/>
    </row>
    <row r="28" spans="1:8" ht="12.75" customHeight="1">
      <c r="A28" s="17"/>
      <c r="B28" s="17"/>
      <c r="C28" s="17"/>
      <c r="D28" s="17"/>
      <c r="E28" s="17"/>
      <c r="F28" s="17"/>
      <c r="G28" s="17"/>
      <c r="H28" s="17"/>
    </row>
    <row r="29" spans="1:8" ht="12.75" customHeight="1">
      <c r="A29" s="17"/>
      <c r="B29" s="17"/>
      <c r="C29" s="17"/>
      <c r="D29" s="17"/>
      <c r="E29" s="17"/>
      <c r="F29" s="17"/>
      <c r="G29" s="17"/>
      <c r="H29" s="17"/>
    </row>
    <row r="30" spans="1:8" ht="12.75" customHeight="1">
      <c r="A30" s="17"/>
      <c r="B30" s="17"/>
      <c r="C30" s="17"/>
      <c r="D30" s="17"/>
      <c r="E30" s="17"/>
      <c r="F30" s="17"/>
      <c r="G30" s="17"/>
      <c r="H30" s="17"/>
    </row>
    <row r="31" spans="1:8" ht="12.75" customHeight="1">
      <c r="A31" s="17"/>
      <c r="B31" s="17"/>
      <c r="C31" s="17"/>
      <c r="D31" s="17"/>
      <c r="E31" s="17"/>
      <c r="F31" s="17"/>
      <c r="G31" s="17"/>
      <c r="H31" s="17"/>
    </row>
    <row r="32" spans="1:8" ht="12.75" customHeight="1">
      <c r="A32" s="17"/>
      <c r="B32" s="17"/>
      <c r="C32" s="17"/>
      <c r="D32" s="17"/>
      <c r="E32" s="17"/>
      <c r="F32" s="17"/>
      <c r="G32" s="17"/>
      <c r="H32" s="17"/>
    </row>
    <row r="33" spans="1:8" ht="12.75" customHeight="1">
      <c r="A33" s="17"/>
      <c r="B33" s="17"/>
      <c r="C33" s="17"/>
      <c r="D33" s="17"/>
      <c r="E33" s="17"/>
      <c r="F33" s="17"/>
      <c r="G33" s="17"/>
      <c r="H33" s="17"/>
    </row>
    <row r="34" spans="1:8" ht="12.75" customHeight="1">
      <c r="A34" s="17"/>
      <c r="B34" s="17"/>
      <c r="C34" s="17"/>
      <c r="D34" s="17"/>
      <c r="E34" s="17"/>
      <c r="F34" s="17"/>
      <c r="G34" s="17"/>
      <c r="H34" s="17"/>
    </row>
    <row r="35" spans="1:8" ht="12.75" customHeight="1">
      <c r="A35" s="17"/>
      <c r="B35" s="17"/>
      <c r="C35" s="17"/>
      <c r="D35" s="17"/>
      <c r="E35" s="17"/>
      <c r="F35" s="17"/>
      <c r="G35" s="17"/>
      <c r="H35" s="17"/>
    </row>
    <row r="36" spans="1:8" ht="12.75" customHeight="1">
      <c r="A36" s="17"/>
      <c r="B36" s="17"/>
      <c r="C36" s="17"/>
      <c r="D36" s="17"/>
      <c r="E36" s="17"/>
      <c r="F36" s="17"/>
      <c r="G36" s="17"/>
      <c r="H36" s="17"/>
    </row>
    <row r="37" spans="1:8" ht="12.75" customHeight="1">
      <c r="A37" s="17"/>
      <c r="B37" s="17"/>
      <c r="C37" s="17"/>
      <c r="D37" s="17"/>
      <c r="E37" s="17"/>
      <c r="F37" s="17"/>
      <c r="G37" s="17"/>
      <c r="H37" s="17"/>
    </row>
    <row r="38" spans="1:8" ht="12.75" customHeight="1">
      <c r="A38" s="17"/>
      <c r="B38" s="17"/>
      <c r="C38" s="17"/>
      <c r="D38" s="17"/>
      <c r="E38" s="17"/>
      <c r="F38" s="17"/>
      <c r="G38" s="17"/>
      <c r="H38" s="17"/>
    </row>
    <row r="39" spans="1:8" ht="12.75" customHeight="1">
      <c r="A39" s="17"/>
      <c r="B39" s="17"/>
      <c r="C39" s="17"/>
      <c r="D39" s="17"/>
      <c r="E39" s="17"/>
      <c r="F39" s="17"/>
      <c r="G39" s="17"/>
      <c r="H39" s="17"/>
    </row>
    <row r="40" spans="1:8" ht="12.75" customHeight="1">
      <c r="A40" s="17"/>
      <c r="B40" s="17"/>
      <c r="C40" s="17"/>
      <c r="D40" s="17"/>
      <c r="E40" s="17"/>
      <c r="F40" s="17"/>
      <c r="G40" s="17"/>
      <c r="H40" s="17"/>
    </row>
    <row r="41" spans="1:8" ht="12.75" customHeight="1">
      <c r="A41" s="17"/>
      <c r="B41" s="17"/>
      <c r="C41" s="17"/>
      <c r="D41" s="17"/>
      <c r="E41" s="17"/>
      <c r="F41" s="17"/>
      <c r="G41" s="17"/>
      <c r="H41" s="17"/>
    </row>
    <row r="42" spans="1:8" ht="12.75" customHeight="1">
      <c r="A42" s="17"/>
      <c r="B42" s="17"/>
      <c r="C42" s="17"/>
      <c r="D42" s="17"/>
      <c r="E42" s="17"/>
      <c r="F42" s="17"/>
      <c r="G42" s="17"/>
      <c r="H42" s="17"/>
    </row>
    <row r="43" spans="1:8" ht="12.75" customHeight="1">
      <c r="A43" s="17"/>
      <c r="B43" s="17"/>
      <c r="C43" s="17"/>
      <c r="D43" s="17"/>
      <c r="E43" s="17"/>
      <c r="F43" s="17"/>
      <c r="G43" s="17"/>
      <c r="H43" s="17"/>
    </row>
    <row r="44" spans="1:8" ht="12.75" customHeight="1">
      <c r="A44" s="17"/>
      <c r="B44" s="17"/>
      <c r="C44" s="17"/>
      <c r="D44" s="17"/>
      <c r="E44" s="17"/>
      <c r="F44" s="17"/>
      <c r="G44" s="17"/>
      <c r="H44" s="17"/>
    </row>
    <row r="45" spans="1:8" ht="12.75" customHeight="1">
      <c r="A45" s="17"/>
      <c r="B45" s="17"/>
      <c r="C45" s="17"/>
      <c r="D45" s="17"/>
      <c r="E45" s="17"/>
      <c r="F45" s="17"/>
      <c r="G45" s="17"/>
      <c r="H45" s="17"/>
    </row>
    <row r="46" spans="1:8" ht="12.75" customHeight="1">
      <c r="A46" s="17"/>
      <c r="B46" s="17"/>
      <c r="C46" s="17"/>
      <c r="D46" s="17"/>
      <c r="E46" s="17"/>
      <c r="F46" s="17"/>
      <c r="G46" s="17"/>
      <c r="H46" s="17"/>
    </row>
    <row r="47" spans="1:8" ht="12.75" customHeight="1">
      <c r="A47" s="17"/>
      <c r="B47" s="17"/>
      <c r="C47" s="17"/>
      <c r="D47" s="17"/>
      <c r="E47" s="17"/>
      <c r="F47" s="17"/>
      <c r="G47" s="17"/>
      <c r="H47" s="17"/>
    </row>
    <row r="48" spans="1:8" ht="12.75" customHeight="1">
      <c r="A48" s="17"/>
      <c r="B48" s="17"/>
      <c r="C48" s="17"/>
      <c r="D48" s="17"/>
      <c r="E48" s="17"/>
      <c r="F48" s="17"/>
      <c r="G48" s="17"/>
      <c r="H48" s="17"/>
    </row>
    <row r="49" spans="1:8" ht="12.75" customHeight="1">
      <c r="A49" s="17"/>
      <c r="B49" s="17"/>
      <c r="C49" s="17"/>
      <c r="D49" s="17"/>
      <c r="E49" s="17"/>
      <c r="F49" s="17"/>
      <c r="G49" s="17"/>
      <c r="H49" s="17"/>
    </row>
    <row r="50" spans="1:8" ht="12.75" customHeight="1">
      <c r="A50" s="17"/>
      <c r="B50" s="17"/>
      <c r="C50" s="17"/>
      <c r="D50" s="17"/>
      <c r="E50" s="17"/>
      <c r="F50" s="17"/>
      <c r="G50" s="17"/>
      <c r="H50" s="17"/>
    </row>
    <row r="51" spans="1:8" ht="12.75" customHeight="1">
      <c r="A51" s="17"/>
      <c r="B51" s="17"/>
      <c r="C51" s="17"/>
      <c r="D51" s="17"/>
      <c r="E51" s="17"/>
      <c r="F51" s="17"/>
      <c r="G51" s="17"/>
      <c r="H51" s="17"/>
    </row>
    <row r="52" spans="1:8" ht="12.75" customHeight="1">
      <c r="A52" s="17"/>
      <c r="B52" s="17"/>
      <c r="C52" s="17"/>
      <c r="D52" s="17"/>
      <c r="E52" s="17"/>
      <c r="F52" s="17"/>
      <c r="G52" s="17"/>
      <c r="H52" s="17"/>
    </row>
    <row r="53" spans="1:8" ht="12.75" customHeight="1">
      <c r="A53" s="17"/>
      <c r="B53" s="17"/>
      <c r="C53" s="17"/>
      <c r="D53" s="17"/>
      <c r="E53" s="17"/>
      <c r="F53" s="17"/>
      <c r="G53" s="17"/>
      <c r="H53" s="17"/>
    </row>
    <row r="54" spans="1:8" ht="12.75" customHeight="1">
      <c r="A54" s="17"/>
      <c r="B54" s="17"/>
      <c r="C54" s="17"/>
      <c r="D54" s="17"/>
      <c r="E54" s="17"/>
      <c r="F54" s="17"/>
      <c r="G54" s="17"/>
      <c r="H54" s="17"/>
    </row>
    <row r="55" spans="1:8" ht="12.75" customHeight="1">
      <c r="A55" s="17"/>
      <c r="B55" s="17"/>
      <c r="C55" s="17"/>
      <c r="D55" s="17"/>
      <c r="E55" s="17"/>
      <c r="F55" s="17"/>
      <c r="G55" s="17"/>
      <c r="H55" s="17"/>
    </row>
    <row r="56" spans="1:8" ht="12.75" customHeight="1">
      <c r="A56" s="17"/>
      <c r="B56" s="17"/>
      <c r="C56" s="17"/>
      <c r="D56" s="17"/>
      <c r="E56" s="17"/>
      <c r="F56" s="17"/>
      <c r="G56" s="17"/>
      <c r="H56" s="17"/>
    </row>
    <row r="57" spans="1:8" ht="12.75" customHeight="1">
      <c r="A57" s="17"/>
      <c r="B57" s="17"/>
      <c r="C57" s="17"/>
      <c r="D57" s="17"/>
      <c r="E57" s="17"/>
      <c r="F57" s="17"/>
      <c r="G57" s="17"/>
      <c r="H57" s="17"/>
    </row>
    <row r="58" spans="1:8" ht="12.75" customHeight="1">
      <c r="A58" s="17"/>
      <c r="B58" s="17"/>
      <c r="C58" s="17"/>
      <c r="D58" s="17"/>
      <c r="E58" s="17"/>
      <c r="F58" s="17"/>
      <c r="G58" s="17"/>
      <c r="H58" s="17"/>
    </row>
    <row r="59" spans="1:8" ht="12.75" customHeight="1">
      <c r="A59" s="17"/>
      <c r="B59" s="17"/>
      <c r="C59" s="17"/>
      <c r="D59" s="17"/>
      <c r="E59" s="17"/>
      <c r="F59" s="17"/>
      <c r="G59" s="17"/>
      <c r="H59" s="17"/>
    </row>
    <row r="60" spans="1:8" ht="12.75" customHeight="1">
      <c r="A60" s="17"/>
      <c r="B60" s="17"/>
      <c r="C60" s="17"/>
      <c r="D60" s="17"/>
      <c r="E60" s="17"/>
      <c r="F60" s="17"/>
      <c r="G60" s="17"/>
      <c r="H60" s="17"/>
    </row>
    <row r="61" spans="1:8" ht="12.75" customHeight="1">
      <c r="A61" s="17"/>
      <c r="B61" s="17"/>
      <c r="C61" s="17"/>
      <c r="D61" s="17"/>
      <c r="E61" s="17"/>
      <c r="F61" s="17"/>
      <c r="G61" s="17"/>
      <c r="H61" s="17"/>
    </row>
    <row r="62" spans="1:8" ht="12.75" customHeight="1">
      <c r="A62" s="17"/>
      <c r="B62" s="17"/>
      <c r="C62" s="17"/>
      <c r="D62" s="17"/>
      <c r="E62" s="17"/>
      <c r="F62" s="17"/>
      <c r="G62" s="17"/>
      <c r="H62" s="17"/>
    </row>
    <row r="63" spans="1:8" ht="12.75" customHeight="1">
      <c r="A63" s="17"/>
      <c r="B63" s="17"/>
      <c r="C63" s="17"/>
      <c r="D63" s="17"/>
      <c r="E63" s="17"/>
      <c r="F63" s="17"/>
      <c r="G63" s="17"/>
      <c r="H63" s="17"/>
    </row>
    <row r="64" spans="1:8" ht="12.75" customHeight="1">
      <c r="A64" s="17"/>
      <c r="B64" s="17"/>
      <c r="C64" s="17"/>
      <c r="D64" s="17"/>
      <c r="E64" s="17"/>
      <c r="F64" s="17"/>
      <c r="G64" s="17"/>
      <c r="H64" s="17"/>
    </row>
    <row r="65" spans="1:8" ht="12.75" customHeight="1">
      <c r="A65" s="17"/>
      <c r="B65" s="17"/>
      <c r="C65" s="17"/>
      <c r="D65" s="17"/>
      <c r="E65" s="17"/>
      <c r="F65" s="17"/>
      <c r="G65" s="17"/>
      <c r="H65" s="17"/>
    </row>
    <row r="66" spans="1:8" ht="12.75" customHeight="1">
      <c r="A66" s="17"/>
      <c r="B66" s="17"/>
      <c r="C66" s="17"/>
      <c r="D66" s="17"/>
      <c r="E66" s="17"/>
      <c r="F66" s="17"/>
      <c r="G66" s="17"/>
      <c r="H66" s="17"/>
    </row>
    <row r="67" spans="1:8" ht="12.75" customHeight="1">
      <c r="A67" s="17"/>
      <c r="B67" s="17"/>
      <c r="C67" s="17"/>
      <c r="D67" s="17"/>
      <c r="E67" s="17"/>
      <c r="F67" s="17"/>
      <c r="G67" s="17"/>
      <c r="H67" s="17"/>
    </row>
    <row r="68" spans="1:8" ht="12.75" customHeight="1">
      <c r="A68" s="17"/>
      <c r="B68" s="17"/>
      <c r="C68" s="17"/>
      <c r="D68" s="17"/>
      <c r="E68" s="17"/>
      <c r="F68" s="17"/>
      <c r="G68" s="17"/>
      <c r="H68" s="17"/>
    </row>
    <row r="69" spans="1:8" ht="12.75" customHeight="1">
      <c r="A69" s="17"/>
      <c r="B69" s="17"/>
      <c r="C69" s="17"/>
      <c r="D69" s="17"/>
      <c r="E69" s="17"/>
      <c r="F69" s="17"/>
      <c r="G69" s="17"/>
      <c r="H69" s="17"/>
    </row>
    <row r="70" spans="1:8" ht="12.75" customHeight="1">
      <c r="A70" s="17"/>
      <c r="B70" s="17"/>
      <c r="C70" s="17"/>
      <c r="D70" s="17"/>
      <c r="E70" s="17"/>
      <c r="F70" s="17"/>
      <c r="G70" s="17"/>
      <c r="H70" s="17"/>
    </row>
    <row r="71" spans="1:8" ht="12.75" customHeight="1">
      <c r="A71" s="17"/>
      <c r="B71" s="17"/>
      <c r="C71" s="17"/>
      <c r="D71" s="17"/>
      <c r="E71" s="17"/>
      <c r="F71" s="17"/>
      <c r="G71" s="17"/>
      <c r="H71" s="17"/>
    </row>
  </sheetData>
  <sheetProtection selectLockedCells="1" selectUnlockedCells="1"/>
  <hyperlinks>
    <hyperlink ref="A6" r:id="rId1" display="Ergänzungen bitte an ralph.amthor@fhws.de schicken!"/>
  </hyperlinks>
  <printOptions/>
  <pageMargins left="0.75" right="0.75" top="1.7875" bottom="1.78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1">
      <selection activeCell="F36" sqref="F36"/>
    </sheetView>
  </sheetViews>
  <sheetFormatPr defaultColWidth="11.140625" defaultRowHeight="12.75" customHeight="1"/>
  <cols>
    <col min="1" max="1" width="11.140625" style="17" customWidth="1"/>
    <col min="2" max="2" width="10.8515625" style="17" customWidth="1"/>
    <col min="3" max="3" width="42.8515625" style="17" customWidth="1"/>
    <col min="4" max="4" width="44.8515625" style="17" customWidth="1"/>
    <col min="5" max="5" width="34.7109375" style="17" customWidth="1"/>
    <col min="6" max="6" width="24.140625" style="17" customWidth="1"/>
    <col min="7" max="7" width="15.8515625" style="17" customWidth="1"/>
    <col min="8" max="8" width="19.8515625" style="17" customWidth="1"/>
    <col min="9" max="9" width="43.00390625" style="17" customWidth="1"/>
    <col min="10" max="10" width="24.57421875" style="17" customWidth="1"/>
    <col min="11" max="11" width="11.140625" style="17" customWidth="1"/>
    <col min="12" max="12" width="33.8515625" style="17" customWidth="1"/>
    <col min="13" max="16384" width="11.140625" style="17" customWidth="1"/>
  </cols>
  <sheetData>
    <row r="1" spans="2:11" s="4" customFormat="1" ht="18" customHeight="1">
      <c r="B1" s="5" t="s">
        <v>7</v>
      </c>
      <c r="C1" s="5"/>
      <c r="D1" s="5"/>
      <c r="E1" s="5"/>
      <c r="F1" s="5"/>
      <c r="G1" s="5"/>
      <c r="H1" s="5"/>
      <c r="I1" s="1"/>
      <c r="J1" s="1"/>
      <c r="K1" s="1"/>
    </row>
    <row r="2" spans="2:11" s="6" customFormat="1" ht="15.75" customHeight="1">
      <c r="B2" s="10"/>
      <c r="C2" s="10"/>
      <c r="D2" s="10"/>
      <c r="E2" s="7"/>
      <c r="F2" s="7"/>
      <c r="G2" s="7"/>
      <c r="H2" s="7"/>
      <c r="I2" s="2"/>
      <c r="J2" s="2"/>
      <c r="K2" s="2"/>
    </row>
    <row r="3" s="6" customFormat="1" ht="12.75" customHeight="1"/>
    <row r="4" spans="2:11" s="8" customFormat="1" ht="15.75" customHeight="1">
      <c r="B4" s="9" t="s">
        <v>8</v>
      </c>
      <c r="C4" s="11"/>
      <c r="D4" s="11"/>
      <c r="E4" s="11"/>
      <c r="F4" s="11"/>
      <c r="G4" s="11"/>
      <c r="H4" s="11"/>
      <c r="I4" s="3"/>
      <c r="J4" s="3"/>
      <c r="K4" s="3"/>
    </row>
    <row r="6" spans="2:6" ht="12.75" customHeight="1">
      <c r="B6" s="22" t="s">
        <v>9</v>
      </c>
      <c r="E6" s="23"/>
      <c r="F6" s="23"/>
    </row>
    <row r="7" spans="2:7" ht="12.75" customHeight="1">
      <c r="B7" s="24"/>
      <c r="C7" s="24"/>
      <c r="D7" s="24"/>
      <c r="E7" s="24"/>
      <c r="F7" s="24"/>
      <c r="G7" s="25"/>
    </row>
    <row r="8" spans="2:7" ht="12.75" customHeight="1">
      <c r="B8" s="26" t="s">
        <v>10</v>
      </c>
      <c r="C8" s="26" t="s">
        <v>11</v>
      </c>
      <c r="D8" s="27" t="s">
        <v>12</v>
      </c>
      <c r="E8" s="26" t="s">
        <v>13</v>
      </c>
      <c r="F8" s="26" t="s">
        <v>14</v>
      </c>
      <c r="G8" s="24"/>
    </row>
    <row r="9" spans="2:8" ht="12.75" customHeight="1">
      <c r="B9" s="28">
        <v>1</v>
      </c>
      <c r="C9" s="29" t="str">
        <f>HYPERLINK("http://www.wustl.edu/","Washington University in St. Louis")</f>
        <v>Washington University in St. Louis</v>
      </c>
      <c r="D9" s="30" t="str">
        <f>HYPERLINK("http://gwbweb.wustl.edu/Pages/Home.aspx","George Warren Brown School of Social Work")</f>
        <v>George Warren Brown School of Social Work</v>
      </c>
      <c r="E9" s="31" t="s">
        <v>15</v>
      </c>
      <c r="F9" s="32" t="s">
        <v>16</v>
      </c>
      <c r="G9" s="24"/>
      <c r="H9" s="33" t="s">
        <v>17</v>
      </c>
    </row>
    <row r="10" spans="2:9" ht="13.5" customHeight="1">
      <c r="B10" s="28">
        <v>2</v>
      </c>
      <c r="C10" s="29" t="str">
        <f>HYPERLINK("http://www.umich.edu/","University of Michigan")</f>
        <v>University of Michigan</v>
      </c>
      <c r="D10" s="30" t="str">
        <f>HYPERLINK("http://www.ssw.umich.edu/","U-Mi School of Social Work")</f>
        <v>U-Mi School of Social Work</v>
      </c>
      <c r="E10" s="31" t="s">
        <v>18</v>
      </c>
      <c r="F10" s="32" t="s">
        <v>16</v>
      </c>
      <c r="G10" s="24"/>
      <c r="H10" s="34" t="s">
        <v>19</v>
      </c>
      <c r="I10" s="34" t="s">
        <v>20</v>
      </c>
    </row>
    <row r="11" spans="2:10" ht="15.75" customHeight="1">
      <c r="B11" s="28">
        <v>3</v>
      </c>
      <c r="C11" s="29" t="str">
        <f>HYPERLINK("http://www.uchicago.edu/index.shtml","University of Chicago")</f>
        <v>University of Chicago</v>
      </c>
      <c r="D11" s="30" t="str">
        <f>HYPERLINK("http://www.ssa.uchicago.edu/","School of Social Service Administration")</f>
        <v>School of Social Service Administration</v>
      </c>
      <c r="E11" s="31" t="s">
        <v>21</v>
      </c>
      <c r="F11" s="35" t="s">
        <v>16</v>
      </c>
      <c r="G11" s="24"/>
      <c r="H11" s="36" t="s">
        <v>22</v>
      </c>
      <c r="I11" s="37" t="s">
        <v>23</v>
      </c>
      <c r="J11" s="18"/>
    </row>
    <row r="12" spans="2:11" ht="13.5" customHeight="1">
      <c r="B12" s="28">
        <v>4</v>
      </c>
      <c r="C12" s="29" t="str">
        <f>HYPERLINK("http://www.columbia.edu/","Columbia University")</f>
        <v>Columbia University</v>
      </c>
      <c r="D12" s="30" t="str">
        <f>HYPERLINK("http://www.columbia.edu/cu/ssw/","C-U School of Social Work")</f>
        <v>C-U School of Social Work</v>
      </c>
      <c r="E12" s="31" t="s">
        <v>24</v>
      </c>
      <c r="F12" s="32" t="s">
        <v>16</v>
      </c>
      <c r="G12" s="24"/>
      <c r="H12" s="36" t="s">
        <v>25</v>
      </c>
      <c r="I12" s="37" t="s">
        <v>26</v>
      </c>
      <c r="J12" s="18"/>
      <c r="K12" s="38"/>
    </row>
    <row r="13" spans="2:11" ht="12.75" customHeight="1">
      <c r="B13" s="28">
        <v>5</v>
      </c>
      <c r="C13" s="29" t="str">
        <f>HYPERLINK("http://www.washington.edu/","University of Washington")</f>
        <v>University of Washington</v>
      </c>
      <c r="D13" s="30" t="str">
        <f>HYPERLINK("http://depts.washington.edu/sswweb/","School of Social Work U-W")</f>
        <v>School of Social Work U-W</v>
      </c>
      <c r="E13" s="31" t="s">
        <v>27</v>
      </c>
      <c r="F13" s="32" t="s">
        <v>28</v>
      </c>
      <c r="G13" s="24"/>
      <c r="H13" s="36" t="s">
        <v>29</v>
      </c>
      <c r="I13" s="37" t="s">
        <v>30</v>
      </c>
      <c r="J13" s="18"/>
      <c r="K13" s="24"/>
    </row>
    <row r="14" spans="2:11" ht="13.5" customHeight="1">
      <c r="B14" s="28">
        <v>6</v>
      </c>
      <c r="C14" s="29" t="str">
        <f>HYPERLINK("http://berkeley.edu/","University of California-Berkeley")</f>
        <v>University of California-Berkeley</v>
      </c>
      <c r="D14" s="39" t="str">
        <f>HYPERLINK("http://socialwelfare.berkeley.edu/","School of Social Wellfare")</f>
        <v>School of Social Wellfare</v>
      </c>
      <c r="E14" s="31" t="s">
        <v>31</v>
      </c>
      <c r="F14" s="32" t="s">
        <v>28</v>
      </c>
      <c r="G14" s="24"/>
      <c r="H14" s="18"/>
      <c r="I14" s="18"/>
      <c r="J14" s="18"/>
      <c r="K14" s="38"/>
    </row>
    <row r="15" spans="2:16" ht="12.75" customHeight="1">
      <c r="B15" s="28">
        <v>7</v>
      </c>
      <c r="C15" s="29" t="str">
        <f>HYPERLINK("http://www.utexas.edu/","University of Texas")</f>
        <v>University of Texas</v>
      </c>
      <c r="D15" s="30" t="str">
        <f>HYPERLINK("http://www.utexas.edu/ssw/","School of Social Work U-T")</f>
        <v>School of Social Work U-T</v>
      </c>
      <c r="E15" s="31" t="s">
        <v>32</v>
      </c>
      <c r="F15" s="32" t="s">
        <v>28</v>
      </c>
      <c r="G15" s="24"/>
      <c r="H15" s="18"/>
      <c r="I15" s="18"/>
      <c r="J15" s="18"/>
      <c r="K15" s="38"/>
      <c r="P15" s="24"/>
    </row>
    <row r="16" spans="2:10" ht="12.75" customHeight="1">
      <c r="B16" s="28">
        <v>8</v>
      </c>
      <c r="C16" s="40" t="str">
        <f>HYPERLINK("http://www.ncsu.edu/","North Carolina State University")</f>
        <v>North Carolina State University</v>
      </c>
      <c r="D16" s="30" t="str">
        <f>HYPERLINK("http://ssw.unc.edu/","UNC School of Social Work")</f>
        <v>UNC School of Social Work</v>
      </c>
      <c r="E16" s="31" t="s">
        <v>33</v>
      </c>
      <c r="F16" s="32" t="s">
        <v>16</v>
      </c>
      <c r="G16" s="24"/>
      <c r="H16" s="24"/>
      <c r="I16" s="24"/>
      <c r="J16" s="18"/>
    </row>
    <row r="17" spans="2:16" ht="12.75" customHeight="1">
      <c r="B17" s="28">
        <v>9</v>
      </c>
      <c r="C17" s="29" t="str">
        <f>HYPERLINK("http://www.usc.edu/","University of Southern California")</f>
        <v>University of Southern California</v>
      </c>
      <c r="D17" s="30" t="str">
        <f>HYPERLINK("http://sowkweb.usc.edu/","USC School of Social Work")</f>
        <v>USC School of Social Work</v>
      </c>
      <c r="E17" s="31" t="s">
        <v>34</v>
      </c>
      <c r="F17" s="32" t="s">
        <v>16</v>
      </c>
      <c r="G17" s="24"/>
      <c r="H17" s="24"/>
      <c r="P17" s="24"/>
    </row>
    <row r="18" spans="2:16" ht="12.75" customHeight="1">
      <c r="B18" s="28">
        <v>10</v>
      </c>
      <c r="C18" s="29" t="str">
        <f>HYPERLINK("http://www.case.edu/","Case Western Reserve University")</f>
        <v>Case Western Reserve University</v>
      </c>
      <c r="D18" s="30" t="str">
        <f>HYPERLINK("http://msass.case.edu/","Mandel School of Applied Social Sciences")</f>
        <v>Mandel School of Applied Social Sciences</v>
      </c>
      <c r="E18" s="31" t="s">
        <v>35</v>
      </c>
      <c r="F18" s="32" t="s">
        <v>16</v>
      </c>
      <c r="G18" s="24"/>
      <c r="H18" s="24"/>
      <c r="P18" s="24"/>
    </row>
    <row r="19" spans="2:16" ht="12.75" customHeight="1">
      <c r="B19" s="28">
        <v>11</v>
      </c>
      <c r="C19" s="29" t="str">
        <f>HYPERLINK("http://www.ucla.edu/","University of California")</f>
        <v>University of California</v>
      </c>
      <c r="D19" s="41" t="str">
        <f>HYPERLINK("http://publicaffairs.ucla.edu/social-welfare","Department of Social Welfare")</f>
        <v>Department of Social Welfare</v>
      </c>
      <c r="E19" s="31" t="s">
        <v>34</v>
      </c>
      <c r="F19" s="32" t="s">
        <v>16</v>
      </c>
      <c r="G19" s="24"/>
      <c r="H19" s="24"/>
      <c r="P19" s="24"/>
    </row>
    <row r="20" spans="2:8" ht="12.75" customHeight="1">
      <c r="B20" s="28">
        <v>12</v>
      </c>
      <c r="C20" s="29" t="str">
        <f>HYPERLINK("http://www.suny.edu/","State University of New York")</f>
        <v>State University of New York</v>
      </c>
      <c r="D20" s="30" t="str">
        <f>HYPERLINK("http://www.albany.edu/ssw/","UAlbany-SUNY School of Social Welfare")</f>
        <v>UAlbany-SUNY School of Social Welfare</v>
      </c>
      <c r="E20" s="31" t="s">
        <v>36</v>
      </c>
      <c r="F20" s="32" t="s">
        <v>28</v>
      </c>
      <c r="G20" s="24"/>
      <c r="H20" s="24"/>
    </row>
    <row r="21" spans="2:8" ht="13.5" customHeight="1">
      <c r="B21" s="28">
        <v>13</v>
      </c>
      <c r="C21" s="29" t="str">
        <f>HYPERLINK("http://www.wisc.edu/","University of Wisconsin")</f>
        <v>University of Wisconsin</v>
      </c>
      <c r="D21" s="30" t="str">
        <f>HYPERLINK("http://socwork.wisc.edu/new_web/","UW-Madison School of Social Work")</f>
        <v>UW-Madison School of Social Work</v>
      </c>
      <c r="E21" s="31" t="s">
        <v>37</v>
      </c>
      <c r="F21" s="35" t="s">
        <v>28</v>
      </c>
      <c r="G21" s="24"/>
      <c r="H21" s="24"/>
    </row>
    <row r="22" spans="2:8" ht="12.75" customHeight="1">
      <c r="B22" s="28">
        <v>14</v>
      </c>
      <c r="C22" s="29" t="str">
        <f>HYPERLINK("http://www.bc.edu/","Boston College")</f>
        <v>Boston College</v>
      </c>
      <c r="D22" s="30" t="str">
        <f>HYPERLINK("http://www.bc.edu/schools/gssw/","BC Graduate School of Social Work")</f>
        <v>BC Graduate School of Social Work</v>
      </c>
      <c r="E22" s="31" t="s">
        <v>38</v>
      </c>
      <c r="F22" s="32" t="s">
        <v>16</v>
      </c>
      <c r="G22" s="24"/>
      <c r="H22" s="24"/>
    </row>
    <row r="23" spans="2:8" ht="12.75" customHeight="1">
      <c r="B23" s="28">
        <v>15</v>
      </c>
      <c r="C23" s="29" t="str">
        <f>HYPERLINK("http://www.upenn.edu/","University of Pennsylvania")</f>
        <v>University of Pennsylvania</v>
      </c>
      <c r="D23" s="30" t="str">
        <f>HYPERLINK("http://www.sp2.upenn.edu/about/index.html","Penn School of Social Policy &amp; Practice")</f>
        <v>Penn School of Social Policy &amp; Practice</v>
      </c>
      <c r="E23" s="31" t="s">
        <v>39</v>
      </c>
      <c r="F23" s="32" t="s">
        <v>16</v>
      </c>
      <c r="G23" s="24"/>
      <c r="H23" s="24"/>
    </row>
    <row r="24" spans="2:8" ht="12.75" customHeight="1">
      <c r="B24" s="28">
        <v>16</v>
      </c>
      <c r="C24" s="29" t="str">
        <f>HYPERLINK("http://www.pitt.edu/","University of Pittsburgh")</f>
        <v>University of Pittsburgh</v>
      </c>
      <c r="D24" s="30" t="str">
        <f>HYPERLINK("http://www.socialwork.pitt.edu/","Pitt's School of Social Work")</f>
        <v>Pitt's School of Social Work</v>
      </c>
      <c r="E24" s="31" t="s">
        <v>40</v>
      </c>
      <c r="F24" s="32" t="s">
        <v>28</v>
      </c>
      <c r="G24" s="24"/>
      <c r="H24" s="24"/>
    </row>
    <row r="25" spans="2:8" ht="12.75" customHeight="1">
      <c r="B25" s="28">
        <v>17</v>
      </c>
      <c r="C25" s="29" t="str">
        <f>HYPERLINK("http://www.vcu.edu/","Virginia Commonwealth University")</f>
        <v>Virginia Commonwealth University</v>
      </c>
      <c r="D25" s="30" t="str">
        <f>HYPERLINK("http://www.socialwork.vcu.edu/index.html","VCU School of Social Work")</f>
        <v>VCU School of Social Work</v>
      </c>
      <c r="E25" s="31" t="s">
        <v>41</v>
      </c>
      <c r="F25" s="32" t="s">
        <v>28</v>
      </c>
      <c r="G25" s="24"/>
      <c r="H25" s="24"/>
    </row>
    <row r="26" spans="2:8" ht="12.75" customHeight="1">
      <c r="B26" s="28">
        <v>18</v>
      </c>
      <c r="C26" s="29" t="str">
        <f>HYPERLINK("http://www.fordham.edu/","Fordham University")</f>
        <v>Fordham University</v>
      </c>
      <c r="D26" s="30" t="str">
        <f>HYPERLINK("http://www.fordham.edu/Academics/Colleges__Graduate_S/Graduate__Profession/Social_Service/","FU Graduate School of Social Service")</f>
        <v>FU Graduate School of Social Service</v>
      </c>
      <c r="E26" s="31" t="s">
        <v>24</v>
      </c>
      <c r="F26" s="32" t="s">
        <v>28</v>
      </c>
      <c r="G26" s="24"/>
      <c r="H26" s="24"/>
    </row>
    <row r="27" spans="2:8" ht="13.5" customHeight="1">
      <c r="B27" s="28">
        <v>19</v>
      </c>
      <c r="C27" s="29" t="str">
        <f>HYPERLINK("http://illinois.edu/","University of Illinois at Urbana-Champaign")</f>
        <v>University of Illinois at Urbana-Champaign</v>
      </c>
      <c r="D27" s="30" t="str">
        <f>HYPERLINK("http://www.socialwork.illinois.edu/","School of Social Work UI")</f>
        <v>School of Social Work UI</v>
      </c>
      <c r="E27" s="31" t="s">
        <v>42</v>
      </c>
      <c r="F27" s="35" t="s">
        <v>28</v>
      </c>
      <c r="G27" s="24"/>
      <c r="H27" s="24"/>
    </row>
    <row r="28" spans="2:8" ht="12.75" customHeight="1">
      <c r="B28" s="28">
        <v>20</v>
      </c>
      <c r="C28" s="29" t="str">
        <f>HYPERLINK("http://www.ku.edu/","University of Kansas")</f>
        <v>University of Kansas</v>
      </c>
      <c r="D28" s="30" t="str">
        <f>HYPERLINK("http://www.socwel.ku.edu/","KU School of Social Welfare")</f>
        <v>KU School of Social Welfare</v>
      </c>
      <c r="E28" s="31" t="s">
        <v>43</v>
      </c>
      <c r="F28" s="32" t="s">
        <v>28</v>
      </c>
      <c r="G28" s="24"/>
      <c r="H28" s="24"/>
    </row>
    <row r="29" spans="2:8" ht="12.75" customHeight="1">
      <c r="B29" s="28">
        <v>21</v>
      </c>
      <c r="C29" s="29" t="str">
        <f>HYPERLINK("http://www.umd.edu/","University of Maryland")</f>
        <v>University of Maryland</v>
      </c>
      <c r="D29" s="30" t="str">
        <f>HYPERLINK("http://www.ssw.umaryland.edu/","U-Ma School of Social Work")</f>
        <v>U-Ma School of Social Work</v>
      </c>
      <c r="E29" s="31" t="s">
        <v>44</v>
      </c>
      <c r="F29" s="32" t="s">
        <v>28</v>
      </c>
      <c r="G29" s="24"/>
      <c r="H29" s="24"/>
    </row>
    <row r="30" spans="2:8" ht="12.75" customHeight="1">
      <c r="B30" s="28">
        <v>22</v>
      </c>
      <c r="C30" s="29" t="str">
        <f>HYPERLINK("http://www.bu.edu/","Boston University")</f>
        <v>Boston University</v>
      </c>
      <c r="D30" s="30" t="str">
        <f>HYPERLINK("http://www.bu.edu/ssw/","BU School of Social Work")</f>
        <v>BU School of Social Work</v>
      </c>
      <c r="E30" s="31" t="s">
        <v>45</v>
      </c>
      <c r="F30" s="32" t="s">
        <v>16</v>
      </c>
      <c r="G30" s="24"/>
      <c r="H30" s="24"/>
    </row>
    <row r="31" spans="2:8" ht="12.75" customHeight="1">
      <c r="B31" s="28">
        <v>23</v>
      </c>
      <c r="C31" s="29" t="str">
        <f>HYPERLINK("http://www.nyu.edu/","New York University")</f>
        <v>New York University</v>
      </c>
      <c r="D31" s="30" t="str">
        <f>HYPERLINK("http://www.nyu.edu/socialwork/","NYU Silver School of Social Work")</f>
        <v>NYU Silver School of Social Work</v>
      </c>
      <c r="E31" s="31" t="s">
        <v>24</v>
      </c>
      <c r="F31" s="32" t="s">
        <v>28</v>
      </c>
      <c r="G31" s="24"/>
      <c r="H31" s="24"/>
    </row>
    <row r="32" spans="2:8" ht="12.75" customHeight="1">
      <c r="B32" s="28">
        <v>24</v>
      </c>
      <c r="C32" s="29" t="str">
        <f>HYPERLINK("http://www.smith.edu/","Smith College")</f>
        <v>Smith College</v>
      </c>
      <c r="D32" s="30" t="str">
        <f>HYPERLINK("http://www.smith.edu/ssw/","SC School for Social Work")</f>
        <v>SC School for Social Work</v>
      </c>
      <c r="E32" s="31" t="s">
        <v>46</v>
      </c>
      <c r="F32" s="32" t="s">
        <v>16</v>
      </c>
      <c r="G32" s="24"/>
      <c r="H32" s="24"/>
    </row>
    <row r="33" spans="2:8" ht="12.75" customHeight="1">
      <c r="B33" s="28">
        <v>25</v>
      </c>
      <c r="C33" s="29" t="str">
        <f>HYPERLINK("http://www.uic.edu/uic/","University of Illinois at Chicago")</f>
        <v>University of Illinois at Chicago</v>
      </c>
      <c r="D33" s="30" t="str">
        <f>HYPERLINK("http://www.uic.edu/jaddams/college/","Jane Addams College of Social Work")</f>
        <v>Jane Addams College of Social Work</v>
      </c>
      <c r="E33" s="31" t="s">
        <v>21</v>
      </c>
      <c r="F33" s="32" t="s">
        <v>16</v>
      </c>
      <c r="G33" s="24"/>
      <c r="H33" s="24"/>
    </row>
    <row r="34" spans="2:8" ht="12.75" customHeight="1">
      <c r="B34" s="24"/>
      <c r="C34" s="24"/>
      <c r="D34" s="24"/>
      <c r="E34" s="24"/>
      <c r="F34" s="42"/>
      <c r="G34" s="24"/>
      <c r="H34" s="24"/>
    </row>
    <row r="35" spans="3:7" ht="12.75" customHeight="1">
      <c r="C35" s="25"/>
      <c r="D35" s="25"/>
      <c r="E35" s="25"/>
      <c r="F35" s="25"/>
      <c r="G35" s="24"/>
    </row>
    <row r="37" ht="12.75" customHeight="1">
      <c r="B37" s="22" t="s">
        <v>47</v>
      </c>
    </row>
    <row r="38" spans="3:8" ht="12.75" customHeight="1">
      <c r="C38" s="43"/>
      <c r="D38" s="43"/>
      <c r="F38" s="25"/>
      <c r="G38" s="25"/>
      <c r="H38" s="25"/>
    </row>
    <row r="39" spans="2:7" ht="13.5" customHeight="1">
      <c r="B39" s="44"/>
      <c r="C39" s="36" t="s">
        <v>48</v>
      </c>
      <c r="D39" s="36" t="s">
        <v>49</v>
      </c>
      <c r="E39" s="45"/>
      <c r="F39" s="22"/>
      <c r="G39" s="22"/>
    </row>
    <row r="40" spans="2:7" ht="12.75" customHeight="1">
      <c r="B40" s="44"/>
      <c r="C40" s="46" t="str">
        <f>HYPERLINK("http://www.socialworkers.org/swportal/ssw1/","Schools of Social Work")</f>
        <v>Schools of Social Work</v>
      </c>
      <c r="D40" s="47" t="s">
        <v>50</v>
      </c>
      <c r="E40" s="45"/>
      <c r="F40" s="25"/>
      <c r="G40" s="25"/>
    </row>
    <row r="41" spans="2:7" ht="27.75" customHeight="1">
      <c r="B41" s="44"/>
      <c r="C41" s="46" t="str">
        <f>HYPERLINK("http://www.cswe.org/Accreditation.aspx","Schools of Social Work")</f>
        <v>Schools of Social Work</v>
      </c>
      <c r="D41" s="47" t="s">
        <v>51</v>
      </c>
      <c r="E41" s="45"/>
      <c r="F41" s="25"/>
      <c r="G41" s="25"/>
    </row>
    <row r="42" spans="2:7" ht="15.75" customHeight="1">
      <c r="B42" s="44"/>
      <c r="C42" s="48" t="str">
        <f>HYPERLINK("http://www.socialpsychology.org/gsocwork.htm","Ranking Psychology Network")</f>
        <v>Ranking Psychology Network</v>
      </c>
      <c r="D42" s="47" t="s">
        <v>52</v>
      </c>
      <c r="E42" s="45"/>
      <c r="F42" s="25"/>
      <c r="G42" s="25"/>
    </row>
    <row r="43" spans="2:5" ht="15.75" customHeight="1">
      <c r="B43" s="44"/>
      <c r="C43" s="49" t="str">
        <f>HYPERLINK("http://www.university-list.net/us/rank/univ-0101.htm","US University Rankings")</f>
        <v>US University Rankings</v>
      </c>
      <c r="D43" s="47" t="s">
        <v>53</v>
      </c>
      <c r="E43" s="45"/>
    </row>
    <row r="44" spans="2:5" ht="28.5" customHeight="1">
      <c r="B44" s="44"/>
      <c r="C44" s="50" t="s">
        <v>358</v>
      </c>
      <c r="D44" s="47" t="s">
        <v>53</v>
      </c>
      <c r="E44" s="45"/>
    </row>
    <row r="45" spans="2:8" ht="15.75" customHeight="1">
      <c r="B45" s="44"/>
      <c r="C45" s="48" t="str">
        <f>HYPERLINK("http://whichuniversitybest.blogspot.com/2009/08/best-social-work-programs-us.html","University Blogspot")</f>
        <v>University Blogspot</v>
      </c>
      <c r="D45" s="51" t="s">
        <v>54</v>
      </c>
      <c r="E45" s="45"/>
      <c r="H45" s="25"/>
    </row>
    <row r="46" spans="2:5" ht="15.75" customHeight="1">
      <c r="B46" s="44"/>
      <c r="C46" s="48" t="str">
        <f>HYPERLINK("http://www.collegeatlas.org/social-work-college-rankings.html","Collegeatlas 2010")</f>
        <v>Collegeatlas 2010</v>
      </c>
      <c r="D46" s="51" t="s">
        <v>55</v>
      </c>
      <c r="E46" s="45"/>
    </row>
    <row r="47" spans="3:4" ht="12.75" customHeight="1">
      <c r="C47" s="52"/>
      <c r="D47" s="52"/>
    </row>
    <row r="48" spans="2:11" s="8" customFormat="1" ht="15.75" customHeight="1">
      <c r="B48" s="9" t="s">
        <v>56</v>
      </c>
      <c r="C48" s="11"/>
      <c r="D48" s="11"/>
      <c r="E48" s="11"/>
      <c r="F48" s="11"/>
      <c r="G48" s="11"/>
      <c r="H48" s="11"/>
      <c r="I48" s="3"/>
      <c r="J48" s="3"/>
      <c r="K48" s="3"/>
    </row>
    <row r="49" spans="3:5" ht="12.75" customHeight="1">
      <c r="C49" s="43"/>
      <c r="D49" s="43"/>
      <c r="E49" s="24"/>
    </row>
    <row r="50" spans="2:7" ht="13.5" customHeight="1">
      <c r="B50" s="44"/>
      <c r="C50" s="53" t="s">
        <v>48</v>
      </c>
      <c r="D50" s="53" t="s">
        <v>49</v>
      </c>
      <c r="E50" s="24"/>
      <c r="F50" s="42"/>
      <c r="G50" s="22"/>
    </row>
    <row r="51" spans="2:6" ht="17.25" customHeight="1">
      <c r="B51" s="44"/>
      <c r="C51" s="54" t="str">
        <f>HYPERLINK("http://www.helpstartshere.org/","Social Workers - help starts here")</f>
        <v>Social Workers - help starts here</v>
      </c>
      <c r="D51" s="55" t="s">
        <v>57</v>
      </c>
      <c r="E51" s="24"/>
      <c r="F51" s="38"/>
    </row>
    <row r="52" spans="2:7" ht="28.5" customHeight="1">
      <c r="B52" s="44"/>
      <c r="C52" s="54" t="str">
        <f>HYPERLINK("http://www.naswdc.org/swportal/","Social work portal")</f>
        <v>Social work portal</v>
      </c>
      <c r="D52" s="55" t="s">
        <v>58</v>
      </c>
      <c r="E52" s="24"/>
      <c r="F52" s="24"/>
      <c r="G52" s="25"/>
    </row>
    <row r="53" spans="2:7" ht="17.25" customHeight="1">
      <c r="B53" s="44"/>
      <c r="C53" s="54" t="str">
        <f>HYPERLINK("http://www.beasocialworker.org/","Be a social worker")</f>
        <v>Be a social worker</v>
      </c>
      <c r="D53" s="55" t="s">
        <v>59</v>
      </c>
      <c r="E53" s="24"/>
      <c r="F53" s="24"/>
      <c r="G53" s="25"/>
    </row>
    <row r="54" spans="2:7" ht="17.25" customHeight="1">
      <c r="B54" s="44"/>
      <c r="C54" s="54" t="str">
        <f>HYPERLINK("http://careers.socialworkers.org/","Social Worker Career Center")</f>
        <v>Social Worker Career Center</v>
      </c>
      <c r="D54" s="55" t="s">
        <v>60</v>
      </c>
      <c r="E54" s="24"/>
      <c r="F54" s="24"/>
      <c r="G54" s="25"/>
    </row>
    <row r="55" spans="2:7" ht="17.25" customHeight="1">
      <c r="B55" s="44"/>
      <c r="C55" s="54" t="str">
        <f>HYPERLINK("http://education-portal.com/search/quicksearch.html","Education Portal")</f>
        <v>Education Portal</v>
      </c>
      <c r="D55" s="55" t="s">
        <v>292</v>
      </c>
      <c r="E55" s="24"/>
      <c r="F55" s="24"/>
      <c r="G55" s="25"/>
    </row>
    <row r="56" spans="2:7" ht="24" customHeight="1">
      <c r="B56" s="44"/>
      <c r="C56" s="54" t="str">
        <f>HYPERLINK("http://www.socialworker.com/home/index.php","The New Social Worker Magazine")</f>
        <v>The New Social Worker Magazine</v>
      </c>
      <c r="D56" s="55" t="s">
        <v>277</v>
      </c>
      <c r="E56" s="24"/>
      <c r="F56" s="24"/>
      <c r="G56" s="25"/>
    </row>
    <row r="57" spans="2:7" ht="17.25" customHeight="1">
      <c r="B57" s="44"/>
      <c r="C57" s="54" t="str">
        <f>HYPERLINK("http://www.socialworkjobbank.com/site/","Social Work Job Bank")</f>
        <v>Social Work Job Bank</v>
      </c>
      <c r="D57" s="55" t="s">
        <v>61</v>
      </c>
      <c r="E57" s="24"/>
      <c r="F57" s="24"/>
      <c r="G57" s="25"/>
    </row>
    <row r="58" spans="2:7" ht="17.25" customHeight="1">
      <c r="B58" s="44"/>
      <c r="C58" s="56" t="s">
        <v>359</v>
      </c>
      <c r="D58" s="55" t="s">
        <v>62</v>
      </c>
      <c r="E58" s="24"/>
      <c r="F58" s="24"/>
      <c r="G58" s="25"/>
    </row>
    <row r="59" spans="2:7" ht="17.25" customHeight="1">
      <c r="B59" s="44"/>
      <c r="C59" s="54" t="str">
        <f>HYPERLINK("http://workforce.socialworkers.org/","Center for Workforce Studies")</f>
        <v>Center for Workforce Studies</v>
      </c>
      <c r="D59" s="55" t="s">
        <v>63</v>
      </c>
      <c r="E59" s="24"/>
      <c r="F59" s="24"/>
      <c r="G59" s="25"/>
    </row>
    <row r="60" spans="2:7" ht="17.25" customHeight="1">
      <c r="B60" s="44"/>
      <c r="C60" s="54" t="str">
        <f>HYPERLINK("http://guides.lib.umich.edu/content.php?pid=119622&amp;sid=1030277","Social Work Research Guide ")</f>
        <v>Social Work Research Guide </v>
      </c>
      <c r="D60" s="55" t="s">
        <v>64</v>
      </c>
      <c r="E60" s="24"/>
      <c r="F60" s="24"/>
      <c r="G60" s="25"/>
    </row>
    <row r="61" spans="3:8" ht="12.75" customHeight="1">
      <c r="C61" s="52"/>
      <c r="D61" s="52"/>
      <c r="E61" s="24"/>
      <c r="F61" s="25"/>
      <c r="G61" s="25"/>
      <c r="H61" s="25"/>
    </row>
    <row r="63" spans="2:11" s="8" customFormat="1" ht="15.75" customHeight="1">
      <c r="B63" s="9" t="s">
        <v>65</v>
      </c>
      <c r="C63" s="11"/>
      <c r="D63" s="11"/>
      <c r="E63" s="16"/>
      <c r="F63" s="11"/>
      <c r="G63" s="11"/>
      <c r="H63" s="11"/>
      <c r="I63" s="3"/>
      <c r="J63" s="3"/>
      <c r="K63" s="3"/>
    </row>
    <row r="64" spans="3:5" ht="12.75" customHeight="1">
      <c r="C64" s="43"/>
      <c r="D64" s="43"/>
      <c r="E64" s="43"/>
    </row>
    <row r="65" spans="2:6" ht="11.25" customHeight="1">
      <c r="B65" s="44"/>
      <c r="C65" s="36" t="s">
        <v>48</v>
      </c>
      <c r="D65" s="36"/>
      <c r="E65" s="36" t="s">
        <v>49</v>
      </c>
      <c r="F65" s="57"/>
    </row>
    <row r="66" spans="2:6" ht="29.25" customHeight="1">
      <c r="B66" s="44"/>
      <c r="C66" s="58" t="str">
        <f>HYPERLINK("http://socialworkers.org/","National Association of Social Workers")</f>
        <v>National Association of Social Workers</v>
      </c>
      <c r="D66" s="59" t="s">
        <v>66</v>
      </c>
      <c r="E66" s="60" t="s">
        <v>278</v>
      </c>
      <c r="F66" s="57"/>
    </row>
    <row r="67" spans="2:6" ht="17.25" customHeight="1">
      <c r="B67" s="44"/>
      <c r="C67" s="48" t="str">
        <f>HYPERLINK("http://www.socialworkers.org/pubs/code/default.asp","Code of ethics")</f>
        <v>Code of ethics</v>
      </c>
      <c r="D67" s="59" t="s">
        <v>66</v>
      </c>
      <c r="E67" s="60" t="s">
        <v>67</v>
      </c>
      <c r="F67" s="45"/>
    </row>
    <row r="68" spans="2:6" ht="18" customHeight="1">
      <c r="B68" s="44"/>
      <c r="C68" s="48" t="str">
        <f>HYPERLINK("http://www.sswr.org/","Society for Social Work and Social Research")</f>
        <v>Society for Social Work and Social Research</v>
      </c>
      <c r="D68" s="59" t="s">
        <v>68</v>
      </c>
      <c r="E68" s="60" t="s">
        <v>69</v>
      </c>
      <c r="F68" s="45"/>
    </row>
    <row r="69" spans="2:6" ht="16.5" customHeight="1">
      <c r="B69" s="44"/>
      <c r="C69" s="48" t="str">
        <f>HYPERLINK("https://www.socialworkmanager.org/","Network for Social Work Managers")</f>
        <v>Network for Social Work Managers</v>
      </c>
      <c r="D69" s="59"/>
      <c r="E69" s="60" t="s">
        <v>70</v>
      </c>
      <c r="F69" s="45"/>
    </row>
    <row r="70" spans="2:6" ht="26.25" customHeight="1">
      <c r="B70" s="44"/>
      <c r="C70" s="48" t="str">
        <f>HYPERLINK("http://www.nacsw.org/","North American Association of Christians in Social Work")</f>
        <v>North American Association of Christians in Social Work</v>
      </c>
      <c r="D70" s="59" t="s">
        <v>71</v>
      </c>
      <c r="E70" s="60" t="s">
        <v>72</v>
      </c>
      <c r="F70" s="45"/>
    </row>
    <row r="71" spans="2:6" ht="16.5" customHeight="1">
      <c r="B71" s="44"/>
      <c r="C71" s="48" t="str">
        <f>HYPERLINK("http://www.clinicalsocialworkassociation.org/","Clinical Social Worker Association")</f>
        <v>Clinical Social Worker Association</v>
      </c>
      <c r="D71" s="59" t="s">
        <v>73</v>
      </c>
      <c r="E71" s="60" t="s">
        <v>74</v>
      </c>
      <c r="F71" s="45"/>
    </row>
    <row r="72" spans="2:6" ht="27.75" customHeight="1">
      <c r="B72" s="44"/>
      <c r="C72" s="48" t="str">
        <f>HYPERLINK("http://www.aaswg.org/","The Association for the Advancement of Social Work with Groups")</f>
        <v>The Association for the Advancement of Social Work with Groups</v>
      </c>
      <c r="D72" s="59" t="s">
        <v>75</v>
      </c>
      <c r="E72" s="60" t="s">
        <v>76</v>
      </c>
      <c r="F72" s="45"/>
    </row>
    <row r="73" spans="2:6" ht="18" customHeight="1">
      <c r="B73" s="44"/>
      <c r="C73" s="48" t="str">
        <f>HYPERLINK("http://www.sswaa.org/","School Social Work Association of America")</f>
        <v>School Social Work Association of America</v>
      </c>
      <c r="D73" s="59" t="s">
        <v>77</v>
      </c>
      <c r="E73" s="60" t="s">
        <v>78</v>
      </c>
      <c r="F73" s="57"/>
    </row>
  </sheetData>
  <sheetProtection selectLockedCells="1" selectUnlockedCells="1"/>
  <autoFilter ref="B8:F33"/>
  <hyperlinks>
    <hyperlink ref="C44" r:id="rId1" display="US Graduate School Rankings - Social Work Programs 2013"/>
    <hyperlink ref="C58" r:id="rId2" display="Bureau of Labor Statistics"/>
  </hyperlinks>
  <printOptions/>
  <pageMargins left="0.75" right="0.75" top="1.7875" bottom="1.7875" header="0.5118055555555555" footer="0.5118055555555555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3"/>
  <sheetViews>
    <sheetView zoomScalePageLayoutView="0" workbookViewId="0" topLeftCell="A1">
      <selection activeCell="E22" sqref="E22"/>
    </sheetView>
  </sheetViews>
  <sheetFormatPr defaultColWidth="11.140625" defaultRowHeight="12.75"/>
  <cols>
    <col min="1" max="1" width="11.140625" style="75" customWidth="1"/>
    <col min="2" max="2" width="34.421875" style="75" customWidth="1"/>
    <col min="3" max="3" width="18.57421875" style="75" customWidth="1"/>
    <col min="4" max="4" width="16.8515625" style="75" customWidth="1"/>
    <col min="5" max="5" width="44.140625" style="75" customWidth="1"/>
    <col min="6" max="6" width="41.421875" style="75" customWidth="1"/>
    <col min="7" max="7" width="28.57421875" style="75" customWidth="1"/>
    <col min="8" max="8" width="21.7109375" style="75" customWidth="1"/>
    <col min="9" max="9" width="18.28125" style="75" customWidth="1"/>
    <col min="10" max="10" width="11.140625" style="75" customWidth="1"/>
    <col min="11" max="11" width="38.00390625" style="75" customWidth="1"/>
    <col min="12" max="12" width="11.140625" style="75" customWidth="1"/>
    <col min="13" max="13" width="55.00390625" style="75" customWidth="1"/>
    <col min="14" max="16384" width="11.140625" style="75" customWidth="1"/>
  </cols>
  <sheetData>
    <row r="1" spans="2:13" s="70" customFormat="1" ht="21">
      <c r="B1" s="68" t="s">
        <v>79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13" s="72" customFormat="1" ht="12.7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="72" customFormat="1" ht="12.75"/>
    <row r="4" spans="2:13" s="74" customFormat="1" ht="17.25">
      <c r="B4" s="73" t="s">
        <v>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ht="12.75">
      <c r="C5" s="76"/>
    </row>
    <row r="6" ht="12.75">
      <c r="B6" s="77" t="s">
        <v>80</v>
      </c>
    </row>
    <row r="8" spans="2:8" ht="12.75">
      <c r="B8" s="78"/>
      <c r="E8" s="78"/>
      <c r="F8" s="78"/>
      <c r="G8" s="78"/>
      <c r="H8" s="78"/>
    </row>
    <row r="9" spans="3:9" ht="26.25">
      <c r="C9" s="79" t="s">
        <v>81</v>
      </c>
      <c r="D9" s="79" t="s">
        <v>82</v>
      </c>
      <c r="E9" s="80" t="s">
        <v>11</v>
      </c>
      <c r="F9" s="80" t="s">
        <v>12</v>
      </c>
      <c r="G9" s="80" t="s">
        <v>13</v>
      </c>
      <c r="H9" s="80" t="s">
        <v>14</v>
      </c>
      <c r="I9" s="81"/>
    </row>
    <row r="10" spans="2:11" ht="13.5" customHeight="1">
      <c r="B10" s="82" t="s">
        <v>83</v>
      </c>
      <c r="C10" s="83">
        <v>2</v>
      </c>
      <c r="D10" s="83">
        <v>2</v>
      </c>
      <c r="E10" s="84" t="str">
        <f>HYPERLINK("http://www.lancs.ac.uk/","Lancaster University")</f>
        <v>Lancaster University</v>
      </c>
      <c r="F10" s="61" t="str">
        <f>HYPERLINK("http://www.lancaster.ac.uk/sociology/about-us/social-work/","Department of Social Work")</f>
        <v>Department of Social Work</v>
      </c>
      <c r="G10" s="85" t="s">
        <v>85</v>
      </c>
      <c r="H10" s="86" t="s">
        <v>28</v>
      </c>
      <c r="I10" s="87"/>
      <c r="J10" s="88" t="s">
        <v>19</v>
      </c>
      <c r="K10" s="88" t="s">
        <v>20</v>
      </c>
    </row>
    <row r="11" spans="3:11" ht="13.5" customHeight="1">
      <c r="C11" s="83">
        <v>1</v>
      </c>
      <c r="D11" s="83">
        <v>5</v>
      </c>
      <c r="E11" s="84" t="str">
        <f>HYPERLINK("http://www.bath.ac.uk/","University of Bath")</f>
        <v>University of Bath</v>
      </c>
      <c r="F11" s="61" t="str">
        <f>HYPERLINK("http://www.bath.ac.uk/sps/","Department of Social &amp; Policy Sciences")</f>
        <v>Department of Social &amp; Policy Sciences</v>
      </c>
      <c r="G11" s="85" t="s">
        <v>86</v>
      </c>
      <c r="H11" s="86" t="s">
        <v>28</v>
      </c>
      <c r="I11" s="87"/>
      <c r="J11" s="89" t="s">
        <v>87</v>
      </c>
      <c r="K11" s="89" t="s">
        <v>23</v>
      </c>
    </row>
    <row r="12" spans="3:11" ht="13.5" customHeight="1">
      <c r="C12" s="83">
        <v>5</v>
      </c>
      <c r="D12" s="83">
        <v>19</v>
      </c>
      <c r="E12" s="84" t="str">
        <f>HYPERLINK("http://www.york.ac.uk/","University of York")</f>
        <v>University of York</v>
      </c>
      <c r="F12" s="90" t="str">
        <f>HYPERLINK("http://www.york.ac.uk/depts/spsw/","Department of Social Policy and Social Work")</f>
        <v>Department of Social Policy and Social Work</v>
      </c>
      <c r="G12" s="85" t="s">
        <v>309</v>
      </c>
      <c r="H12" s="86" t="s">
        <v>28</v>
      </c>
      <c r="I12" s="87"/>
      <c r="J12" s="89" t="s">
        <v>88</v>
      </c>
      <c r="K12" s="89" t="s">
        <v>26</v>
      </c>
    </row>
    <row r="13" spans="3:11" ht="13.5" customHeight="1">
      <c r="C13" s="83"/>
      <c r="D13" s="83"/>
      <c r="E13" s="84" t="str">
        <f>HYPERLINK("http://www.sheffield.ac.uk/","University of Sheffield")</f>
        <v>University of Sheffield</v>
      </c>
      <c r="F13" s="90" t="str">
        <f>HYPERLINK("http://www.shef.ac.uk/socstudies/","Department of Sociological Studies")</f>
        <v>Department of Sociological Studies</v>
      </c>
      <c r="G13" s="85" t="s">
        <v>89</v>
      </c>
      <c r="H13" s="86" t="s">
        <v>16</v>
      </c>
      <c r="I13" s="87"/>
      <c r="J13" s="89" t="s">
        <v>29</v>
      </c>
      <c r="K13" s="89" t="s">
        <v>30</v>
      </c>
    </row>
    <row r="14" spans="3:13" ht="13.5" customHeight="1">
      <c r="C14" s="83">
        <v>7</v>
      </c>
      <c r="D14" s="83">
        <v>1</v>
      </c>
      <c r="E14" s="84" t="str">
        <f>HYPERLINK("http://www.sussex.ac.uk/","University of Sussex")</f>
        <v>University of Sussex</v>
      </c>
      <c r="F14" s="61" t="s">
        <v>301</v>
      </c>
      <c r="G14" s="85" t="s">
        <v>90</v>
      </c>
      <c r="H14" s="86" t="s">
        <v>28</v>
      </c>
      <c r="I14" s="87"/>
      <c r="L14" s="78"/>
      <c r="M14" s="78"/>
    </row>
    <row r="15" spans="3:11" ht="13.5" customHeight="1">
      <c r="C15" s="83">
        <v>11</v>
      </c>
      <c r="D15" s="83">
        <v>16</v>
      </c>
      <c r="E15" s="84" t="str">
        <f>HYPERLINK("http://www.bham.ac.uk/","University of Birmingham")</f>
        <v>University of Birmingham</v>
      </c>
      <c r="F15" s="61" t="str">
        <f>HYPERLINK("http://www.birmingham.ac.uk/schools/social-policy/departments/applied-social-studies/index.aspx","Institute of Applied Social Studies")</f>
        <v>Institute of Applied Social Studies</v>
      </c>
      <c r="G15" s="85" t="s">
        <v>91</v>
      </c>
      <c r="H15" s="86" t="s">
        <v>92</v>
      </c>
      <c r="I15" s="87"/>
      <c r="K15" s="91"/>
    </row>
    <row r="16" spans="3:11" ht="13.5" customHeight="1">
      <c r="C16" s="83">
        <v>16</v>
      </c>
      <c r="D16" s="83">
        <v>56</v>
      </c>
      <c r="E16" s="84" t="str">
        <f>HYPERLINK("http://www.keele.ac.uk/","Keele University")</f>
        <v>Keele University</v>
      </c>
      <c r="F16" s="90" t="str">
        <f>HYPERLINK("http://www.keele.ac.uk/socialwork/","Faculty of Humanities and Social Sciences")</f>
        <v>Faculty of Humanities and Social Sciences</v>
      </c>
      <c r="G16" s="85" t="s">
        <v>94</v>
      </c>
      <c r="H16" s="86" t="s">
        <v>28</v>
      </c>
      <c r="I16" s="87"/>
      <c r="K16" s="91"/>
    </row>
    <row r="17" spans="3:11" ht="13.5" customHeight="1">
      <c r="C17" s="83">
        <v>13</v>
      </c>
      <c r="D17" s="83">
        <v>6</v>
      </c>
      <c r="E17" s="84" t="str">
        <f>HYPERLINK("http://www.swan.ac.uk/","Swansea University")</f>
        <v>Swansea University</v>
      </c>
      <c r="F17" s="90" t="str">
        <f>HYPERLINK("http://www.swansea.ac.uk/humanandhealthsciences/","College of Human and Health Science")</f>
        <v>College of Human and Health Science</v>
      </c>
      <c r="G17" s="92" t="s">
        <v>95</v>
      </c>
      <c r="H17" s="93" t="s">
        <v>28</v>
      </c>
      <c r="I17" s="87"/>
      <c r="K17" s="91"/>
    </row>
    <row r="18" spans="3:13" ht="26.25" customHeight="1">
      <c r="C18" s="94">
        <v>15</v>
      </c>
      <c r="D18" s="94">
        <v>8</v>
      </c>
      <c r="E18" s="84" t="str">
        <f>HYPERLINK("http://www.kent.ac.uk/","University of Kent")</f>
        <v>University of Kent</v>
      </c>
      <c r="F18" s="90" t="str">
        <f>HYPERLINK("http://www.kent.ac.uk/sspssr/","School of Social Policy, Sociology and  Social Research")</f>
        <v>School of Social Policy, Sociology and  Social Research</v>
      </c>
      <c r="G18" s="85" t="s">
        <v>303</v>
      </c>
      <c r="H18" s="86" t="s">
        <v>28</v>
      </c>
      <c r="I18" s="87"/>
      <c r="K18" s="91"/>
      <c r="L18" s="78"/>
      <c r="M18" s="91"/>
    </row>
    <row r="19" spans="3:9" ht="13.5" customHeight="1">
      <c r="C19" s="83">
        <v>10</v>
      </c>
      <c r="D19" s="83"/>
      <c r="E19" s="95" t="str">
        <f>HYPERLINK("http://www2.warwick.ac.uk/","University of Warwick")</f>
        <v>University of Warwick</v>
      </c>
      <c r="F19" s="61" t="s">
        <v>304</v>
      </c>
      <c r="G19" s="92" t="s">
        <v>97</v>
      </c>
      <c r="H19" s="93" t="s">
        <v>16</v>
      </c>
      <c r="I19" s="87"/>
    </row>
    <row r="20" spans="3:9" ht="12.75" customHeight="1">
      <c r="C20" s="83">
        <v>4</v>
      </c>
      <c r="D20" s="83">
        <v>3</v>
      </c>
      <c r="E20" s="84" t="str">
        <f>HYPERLINK("http://www.leeds.ac.uk/","University of Leeds")</f>
        <v>University of Leeds</v>
      </c>
      <c r="F20" s="61" t="s">
        <v>305</v>
      </c>
      <c r="G20" s="85" t="s">
        <v>98</v>
      </c>
      <c r="H20" s="86" t="s">
        <v>92</v>
      </c>
      <c r="I20" s="87"/>
    </row>
    <row r="21" spans="3:9" ht="13.5" customHeight="1">
      <c r="C21" s="83">
        <v>20</v>
      </c>
      <c r="D21" s="83">
        <v>24</v>
      </c>
      <c r="E21" s="62" t="str">
        <f>HYPERLINK("http://www.manchester.ac.uk","University of Manchester")</f>
        <v>University of Manchester</v>
      </c>
      <c r="F21" s="90" t="str">
        <f>HYPERLINK("http://www.nursing.manchester.ac.uk/","School of Nursing, Midwifery and Social Work")</f>
        <v>School of Nursing, Midwifery and Social Work</v>
      </c>
      <c r="G21" s="85" t="s">
        <v>99</v>
      </c>
      <c r="H21" s="86" t="s">
        <v>16</v>
      </c>
      <c r="I21" s="87"/>
    </row>
    <row r="22" spans="3:9" ht="13.5" customHeight="1">
      <c r="C22" s="83">
        <v>40</v>
      </c>
      <c r="D22" s="83">
        <v>29</v>
      </c>
      <c r="E22" s="84" t="str">
        <f>HYPERLINK("http://www.brad.ac.uk/external/","University of Bradford")</f>
        <v>University of Bradford</v>
      </c>
      <c r="F22" s="90" t="str">
        <f>HYPERLINK("http://www.brad.ac.uk/acad/ssis/","School of Social and International Studies")</f>
        <v>School of Social and International Studies</v>
      </c>
      <c r="G22" s="85" t="s">
        <v>100</v>
      </c>
      <c r="H22" s="86" t="s">
        <v>92</v>
      </c>
      <c r="I22" s="87"/>
    </row>
    <row r="23" spans="3:9" ht="13.5" customHeight="1">
      <c r="C23" s="83">
        <v>9</v>
      </c>
      <c r="D23" s="83">
        <v>4</v>
      </c>
      <c r="E23" s="84" t="str">
        <f>HYPERLINK("http://www.bristol.ac.uk/","University of Bristol")</f>
        <v>University of Bristol</v>
      </c>
      <c r="F23" s="90" t="str">
        <f>HYPERLINK("http://www.bristol.ac.uk/sps/","School for Policy Studies")</f>
        <v>School for Policy Studies</v>
      </c>
      <c r="G23" s="85" t="s">
        <v>102</v>
      </c>
      <c r="H23" s="86" t="s">
        <v>16</v>
      </c>
      <c r="I23" s="87"/>
    </row>
    <row r="24" spans="3:9" ht="13.5" customHeight="1">
      <c r="C24" s="83">
        <v>19</v>
      </c>
      <c r="D24" s="83">
        <v>15</v>
      </c>
      <c r="E24" s="84" t="str">
        <f>HYPERLINK("http://www.mdx.ac.uk/","Middlesex University")</f>
        <v>Middlesex University</v>
      </c>
      <c r="F24" s="61" t="str">
        <f>HYPERLINK("http://www.mdx.ac.uk/aboutus/Schools/health-and-education/index.aspx","School of Health and  Education")</f>
        <v>School of Health and  Education</v>
      </c>
      <c r="G24" s="85" t="s">
        <v>103</v>
      </c>
      <c r="H24" s="86" t="s">
        <v>92</v>
      </c>
      <c r="I24" s="87"/>
    </row>
    <row r="25" spans="3:9" ht="13.5" customHeight="1">
      <c r="C25" s="83">
        <v>6</v>
      </c>
      <c r="D25" s="83"/>
      <c r="E25" s="84" t="str">
        <f>HYPERLINK("http://www.uea.ac.uk/","University of East Anglia")</f>
        <v>University of East Anglia</v>
      </c>
      <c r="F25" s="90" t="str">
        <f>HYPERLINK("http://www.uea.ac.uk/ssf","Faculty of Social Sciences")</f>
        <v>Faculty of Social Sciences</v>
      </c>
      <c r="G25" s="85" t="s">
        <v>108</v>
      </c>
      <c r="H25" s="86" t="s">
        <v>28</v>
      </c>
      <c r="I25" s="87"/>
    </row>
    <row r="26" spans="3:9" ht="13.5" customHeight="1">
      <c r="C26" s="83">
        <v>54</v>
      </c>
      <c r="D26" s="83">
        <v>35</v>
      </c>
      <c r="E26" s="84" t="str">
        <f>HYPERLINK("http://home.bournemouth.ac.uk/","Bournemouth University")</f>
        <v>Bournemouth University</v>
      </c>
      <c r="F26" s="61" t="str">
        <f>HYPERLINK("https://www1.bournemouth.ac.uk/discover/faculties/faculty-health-social-sciences/our-departments/department-social-sciences-social-work","School of Health &amp; Social Care")</f>
        <v>School of Health &amp; Social Care</v>
      </c>
      <c r="G26" s="85" t="s">
        <v>109</v>
      </c>
      <c r="H26" s="86" t="s">
        <v>28</v>
      </c>
      <c r="I26" s="87"/>
    </row>
    <row r="27" spans="2:9" ht="13.5" customHeight="1">
      <c r="B27" s="78"/>
      <c r="C27" s="83">
        <v>21</v>
      </c>
      <c r="D27" s="83">
        <v>17</v>
      </c>
      <c r="E27" s="84" t="str">
        <f>HYPERLINK("http://www.northumbria.ac.uk/","Northumbria University")</f>
        <v>Northumbria University</v>
      </c>
      <c r="F27" s="61" t="s">
        <v>306</v>
      </c>
      <c r="G27" s="85" t="s">
        <v>105</v>
      </c>
      <c r="H27" s="96" t="s">
        <v>28</v>
      </c>
      <c r="I27" s="87"/>
    </row>
    <row r="28" spans="2:9" ht="13.5" customHeight="1">
      <c r="B28" s="78"/>
      <c r="C28" s="97">
        <v>48</v>
      </c>
      <c r="D28" s="97">
        <v>20</v>
      </c>
      <c r="E28" s="98" t="str">
        <f>HYPERLINK("http://www.brookes.ac.uk/","Oxford Brookes University")</f>
        <v>Oxford Brookes University</v>
      </c>
      <c r="F28" s="61" t="s">
        <v>308</v>
      </c>
      <c r="G28" s="92" t="s">
        <v>111</v>
      </c>
      <c r="H28" s="93" t="s">
        <v>92</v>
      </c>
      <c r="I28" s="87"/>
    </row>
    <row r="29" spans="2:9" ht="13.5" customHeight="1">
      <c r="B29" s="78"/>
      <c r="C29" s="94">
        <v>42</v>
      </c>
      <c r="D29" s="83">
        <v>39</v>
      </c>
      <c r="E29" s="95" t="str">
        <f>HYPERLINK("http://www.chester.ac.uk/","University of Chester")</f>
        <v>University of Chester</v>
      </c>
      <c r="F29" s="99" t="str">
        <f>HYPERLINK("http://www.chester.ac.uk/health","Faculty of Health and Social Care")</f>
        <v>Faculty of Health and Social Care</v>
      </c>
      <c r="G29" s="92" t="s">
        <v>112</v>
      </c>
      <c r="H29" s="93" t="s">
        <v>92</v>
      </c>
      <c r="I29" s="87"/>
    </row>
    <row r="30" spans="2:9" ht="25.5" customHeight="1">
      <c r="B30" s="82" t="s">
        <v>104</v>
      </c>
      <c r="C30" s="100">
        <v>12</v>
      </c>
      <c r="D30" s="100">
        <v>22</v>
      </c>
      <c r="E30" s="84" t="str">
        <f>HYPERLINK("http://www.qub.ac.uk/","University of Queen's")</f>
        <v>University of Queen's</v>
      </c>
      <c r="F30" s="90" t="str">
        <f>HYPERLINK("http://www.qub.ac.uk/schools/SchoolofSociologySocialPolicySocialWork/","School of Sociology, Social Policy and Social Work")</f>
        <v>School of Sociology, Social Policy and Social Work</v>
      </c>
      <c r="G30" s="85" t="s">
        <v>84</v>
      </c>
      <c r="H30" s="86" t="s">
        <v>92</v>
      </c>
      <c r="I30" s="87"/>
    </row>
    <row r="31" spans="2:9" ht="13.5" customHeight="1">
      <c r="B31" s="101" t="s">
        <v>106</v>
      </c>
      <c r="C31" s="102">
        <v>17</v>
      </c>
      <c r="D31" s="83">
        <v>62</v>
      </c>
      <c r="E31" s="84" t="str">
        <f>HYPERLINK("http://www.strath.ac.uk/","Strathclyde University")</f>
        <v>Strathclyde University</v>
      </c>
      <c r="F31" s="61" t="s">
        <v>302</v>
      </c>
      <c r="G31" s="85" t="s">
        <v>96</v>
      </c>
      <c r="H31" s="86" t="s">
        <v>28</v>
      </c>
      <c r="I31" s="87"/>
    </row>
    <row r="32" spans="2:9" ht="26.25" customHeight="1">
      <c r="B32" s="103"/>
      <c r="C32" s="100">
        <v>18</v>
      </c>
      <c r="D32" s="100">
        <v>13</v>
      </c>
      <c r="E32" s="84" t="str">
        <f>HYPERLINK("http://www.dundee.ac.uk/","University of Dundee")</f>
        <v>University of Dundee</v>
      </c>
      <c r="F32" s="90" t="str">
        <f>HYPERLINK("http://www.dundee.ac.uk/eswce/","School of Education, Social Work and  Community Education")</f>
        <v>School of Education, Social Work and  Community Education</v>
      </c>
      <c r="G32" s="85" t="s">
        <v>101</v>
      </c>
      <c r="H32" s="86" t="s">
        <v>28</v>
      </c>
      <c r="I32" s="87"/>
    </row>
    <row r="33" spans="2:9" ht="13.5" customHeight="1">
      <c r="B33" s="103"/>
      <c r="C33" s="83">
        <v>8</v>
      </c>
      <c r="D33" s="83">
        <v>12</v>
      </c>
      <c r="E33" s="84" t="str">
        <f>HYPERLINK("http://www.ed.ac.uk/home","University of Edinburgh")</f>
        <v>University of Edinburgh</v>
      </c>
      <c r="F33" s="90" t="str">
        <f>HYPERLINK("http://www.socialwork.ed.ac.uk/","School of Social and Political Science")</f>
        <v>School of Social and Political Science</v>
      </c>
      <c r="G33" s="85" t="s">
        <v>93</v>
      </c>
      <c r="H33" s="86" t="s">
        <v>28</v>
      </c>
      <c r="I33" s="87"/>
    </row>
    <row r="34" spans="2:9" ht="13.5" customHeight="1">
      <c r="B34" s="101" t="s">
        <v>110</v>
      </c>
      <c r="C34" s="83">
        <v>44</v>
      </c>
      <c r="D34" s="83">
        <v>58</v>
      </c>
      <c r="E34" s="104" t="s">
        <v>307</v>
      </c>
      <c r="F34" s="61" t="str">
        <f>HYPERLINK("http://www.southwales.ac.uk/study/subjects/social-work-social-care/","Department of Social Work &amp; Social Care")</f>
        <v>Department of Social Work &amp; Social Care</v>
      </c>
      <c r="G34" s="85" t="s">
        <v>107</v>
      </c>
      <c r="H34" s="86" t="s">
        <v>28</v>
      </c>
      <c r="I34" s="78"/>
    </row>
    <row r="35" spans="2:9" ht="13.5" customHeight="1">
      <c r="B35" s="103"/>
      <c r="I35" s="78"/>
    </row>
    <row r="36" spans="2:9" ht="12.75" customHeight="1">
      <c r="B36" s="78"/>
      <c r="C36" s="91"/>
      <c r="D36" s="91"/>
      <c r="E36" s="78"/>
      <c r="F36" s="78"/>
      <c r="G36" s="78"/>
      <c r="H36" s="78"/>
      <c r="I36" s="87"/>
    </row>
    <row r="37" spans="3:9" ht="12.75">
      <c r="C37" s="91"/>
      <c r="D37" s="91"/>
      <c r="I37" s="78"/>
    </row>
    <row r="39" spans="2:7" ht="12.75">
      <c r="B39" s="105" t="s">
        <v>113</v>
      </c>
      <c r="E39" s="106"/>
      <c r="F39" s="106"/>
      <c r="G39" s="106"/>
    </row>
    <row r="40" spans="4:8" ht="12.75">
      <c r="D40" s="107"/>
      <c r="E40" s="108" t="s">
        <v>48</v>
      </c>
      <c r="F40" s="108"/>
      <c r="G40" s="108" t="s">
        <v>49</v>
      </c>
      <c r="H40" s="109"/>
    </row>
    <row r="41" spans="4:8" ht="12.75">
      <c r="D41" s="107"/>
      <c r="E41" s="49" t="s">
        <v>311</v>
      </c>
      <c r="F41" s="110" t="s">
        <v>114</v>
      </c>
      <c r="G41" s="111" t="s">
        <v>310</v>
      </c>
      <c r="H41" s="109"/>
    </row>
    <row r="42" spans="4:8" ht="15.75" customHeight="1">
      <c r="D42" s="107"/>
      <c r="E42" s="49" t="s">
        <v>311</v>
      </c>
      <c r="F42" s="110" t="s">
        <v>115</v>
      </c>
      <c r="G42" s="111" t="s">
        <v>312</v>
      </c>
      <c r="H42" s="109"/>
    </row>
    <row r="43" spans="4:8" ht="24.75" customHeight="1">
      <c r="D43" s="107"/>
      <c r="E43" s="49" t="str">
        <f>HYPERLINK("http://www.eassw.org/","European Association of Schools of Social Work")</f>
        <v>European Association of Schools of Social Work</v>
      </c>
      <c r="F43" s="110" t="s">
        <v>280</v>
      </c>
      <c r="G43" s="111" t="s">
        <v>281</v>
      </c>
      <c r="H43" s="109"/>
    </row>
    <row r="44" spans="5:7" ht="30.75" customHeight="1">
      <c r="E44" s="112"/>
      <c r="F44" s="112"/>
      <c r="G44" s="112"/>
    </row>
    <row r="46" spans="3:8" ht="17.25">
      <c r="C46" s="113"/>
      <c r="D46" s="113"/>
      <c r="E46" s="114"/>
      <c r="F46" s="114"/>
      <c r="G46" s="114"/>
      <c r="H46" s="114"/>
    </row>
    <row r="47" spans="2:13" s="74" customFormat="1" ht="17.25">
      <c r="B47" s="115" t="s">
        <v>56</v>
      </c>
      <c r="C47" s="72"/>
      <c r="D47" s="72"/>
      <c r="E47" s="116"/>
      <c r="F47" s="116"/>
      <c r="G47" s="116"/>
      <c r="H47" s="72"/>
      <c r="I47" s="73"/>
      <c r="J47" s="73"/>
      <c r="K47" s="73"/>
      <c r="L47" s="73"/>
      <c r="M47" s="73"/>
    </row>
    <row r="48" spans="2:13" s="118" customFormat="1" ht="17.25">
      <c r="B48" s="117"/>
      <c r="C48" s="75"/>
      <c r="D48" s="75"/>
      <c r="E48" s="106"/>
      <c r="F48" s="106"/>
      <c r="G48" s="78"/>
      <c r="H48" s="75"/>
      <c r="I48" s="114"/>
      <c r="J48" s="114"/>
      <c r="K48" s="114"/>
      <c r="L48" s="114"/>
      <c r="M48" s="114"/>
    </row>
    <row r="49" spans="4:9" ht="15">
      <c r="D49" s="107"/>
      <c r="E49" s="108" t="s">
        <v>48</v>
      </c>
      <c r="F49" s="108" t="s">
        <v>49</v>
      </c>
      <c r="G49" s="91"/>
      <c r="I49" s="119"/>
    </row>
    <row r="50" spans="4:8" ht="13.5" customHeight="1">
      <c r="D50" s="107"/>
      <c r="E50" s="66" t="str">
        <f>HYPERLINK("http://www.scotland.gov.uk/Topics/Statistics/Browse/Children/sourcesandsuitability/LALevelStats","Statistiken von Social Work in Schottland")</f>
        <v>Statistiken von Social Work in Schottland</v>
      </c>
      <c r="F50" s="110" t="s">
        <v>116</v>
      </c>
      <c r="G50" s="91"/>
      <c r="H50" s="78"/>
    </row>
    <row r="51" spans="4:9" ht="20.25" customHeight="1">
      <c r="D51" s="107"/>
      <c r="E51" s="49" t="s">
        <v>313</v>
      </c>
      <c r="F51" s="110" t="s">
        <v>117</v>
      </c>
      <c r="G51" s="91"/>
      <c r="H51" s="78"/>
      <c r="I51" s="78"/>
    </row>
    <row r="52" spans="4:9" ht="26.25">
      <c r="D52" s="107"/>
      <c r="E52" s="49" t="s">
        <v>314</v>
      </c>
      <c r="F52" s="110" t="s">
        <v>285</v>
      </c>
      <c r="G52" s="91"/>
      <c r="H52" s="78"/>
      <c r="I52" s="78"/>
    </row>
    <row r="53" spans="4:9" ht="30.75" customHeight="1">
      <c r="D53" s="107"/>
      <c r="E53" s="49" t="str">
        <f>HYPERLINK("http://www.cosw.sc.edu/","The College of Social Work")</f>
        <v>The College of Social Work</v>
      </c>
      <c r="F53" s="110" t="s">
        <v>284</v>
      </c>
      <c r="G53" s="91"/>
      <c r="H53" s="78"/>
      <c r="I53" s="78"/>
    </row>
    <row r="54" spans="4:9" ht="18" customHeight="1">
      <c r="D54" s="107"/>
      <c r="E54" s="49" t="str">
        <f>HYPERLINK("http://www.charityjob.co.uk/","Charity Job ")</f>
        <v>Charity Job </v>
      </c>
      <c r="F54" s="110" t="s">
        <v>293</v>
      </c>
      <c r="G54" s="91"/>
      <c r="H54" s="78"/>
      <c r="I54" s="78"/>
    </row>
    <row r="55" spans="4:9" ht="18" customHeight="1">
      <c r="D55" s="107"/>
      <c r="E55" s="49" t="str">
        <f>HYPERLINK("http://www.nisw.org.uk/","National Institute for Social Work ")</f>
        <v>National Institute for Social Work </v>
      </c>
      <c r="F55" s="110" t="s">
        <v>279</v>
      </c>
      <c r="G55" s="91"/>
      <c r="H55" s="78"/>
      <c r="I55" s="78"/>
    </row>
    <row r="56" spans="5:9" ht="20.25" customHeight="1">
      <c r="E56" s="120"/>
      <c r="F56" s="112"/>
      <c r="G56" s="78"/>
      <c r="I56" s="78"/>
    </row>
    <row r="57" spans="3:10" ht="11.25" customHeight="1">
      <c r="C57" s="121"/>
      <c r="D57" s="121"/>
      <c r="E57" s="121"/>
      <c r="F57" s="121"/>
      <c r="G57" s="121"/>
      <c r="H57" s="114"/>
      <c r="I57" s="78"/>
      <c r="J57" s="78"/>
    </row>
    <row r="58" spans="2:13" s="74" customFormat="1" ht="17.25">
      <c r="B58" s="73" t="s">
        <v>118</v>
      </c>
      <c r="C58" s="72"/>
      <c r="D58" s="72"/>
      <c r="E58" s="116"/>
      <c r="F58" s="116"/>
      <c r="G58" s="116"/>
      <c r="H58" s="72"/>
      <c r="I58" s="73"/>
      <c r="J58" s="73"/>
      <c r="K58" s="73"/>
      <c r="L58" s="73"/>
      <c r="M58" s="73"/>
    </row>
    <row r="59" spans="2:13" s="118" customFormat="1" ht="17.25">
      <c r="B59" s="114"/>
      <c r="C59" s="75"/>
      <c r="D59" s="75"/>
      <c r="E59" s="106"/>
      <c r="F59" s="106"/>
      <c r="G59" s="106"/>
      <c r="H59" s="75"/>
      <c r="I59" s="114"/>
      <c r="J59" s="114"/>
      <c r="K59" s="114"/>
      <c r="L59" s="114"/>
      <c r="M59" s="114"/>
    </row>
    <row r="60" spans="4:8" ht="13.5" customHeight="1">
      <c r="D60" s="107"/>
      <c r="E60" s="108" t="s">
        <v>48</v>
      </c>
      <c r="F60" s="108"/>
      <c r="G60" s="108" t="s">
        <v>49</v>
      </c>
      <c r="H60" s="109"/>
    </row>
    <row r="61" spans="4:8" ht="24.75" customHeight="1">
      <c r="D61" s="107"/>
      <c r="E61" s="122" t="str">
        <f>HYPERLINK("http://www.hpc-uk.org/","health &amp; care professions council")</f>
        <v>health &amp; care professions council</v>
      </c>
      <c r="F61" s="123" t="s">
        <v>282</v>
      </c>
      <c r="G61" s="89" t="s">
        <v>286</v>
      </c>
      <c r="H61" s="109"/>
    </row>
    <row r="62" spans="4:8" ht="31.5" customHeight="1">
      <c r="D62" s="107"/>
      <c r="E62" s="124" t="str">
        <f>HYPERLINK("http://ifsw.org/","International Federation of Social Workers")</f>
        <v>International Federation of Social Workers</v>
      </c>
      <c r="F62" s="125" t="s">
        <v>283</v>
      </c>
      <c r="G62" s="126" t="s">
        <v>274</v>
      </c>
      <c r="H62" s="109"/>
    </row>
    <row r="63" spans="4:8" ht="31.5" customHeight="1">
      <c r="D63" s="78"/>
      <c r="E63" s="104" t="s">
        <v>315</v>
      </c>
      <c r="F63" s="127" t="s">
        <v>119</v>
      </c>
      <c r="G63" s="128" t="s">
        <v>120</v>
      </c>
      <c r="H63" s="91"/>
    </row>
    <row r="64" ht="30" customHeight="1"/>
  </sheetData>
  <sheetProtection selectLockedCells="1" selectUnlockedCells="1"/>
  <autoFilter ref="C9:H31"/>
  <hyperlinks>
    <hyperlink ref="F14" r:id="rId1" display="Department of Social Work and Social Care"/>
    <hyperlink ref="F19" r:id="rId2" display="Faculty of Social Studies"/>
    <hyperlink ref="F20" r:id="rId3" display="Faculty of Medicine and Health"/>
    <hyperlink ref="F27" r:id="rId4" display="Social Work and Communities"/>
    <hyperlink ref="E34" r:id="rId5" display="University of South Wales"/>
    <hyperlink ref="F31" r:id="rId6" display="Glasgow School of Social Work"/>
    <hyperlink ref="F28" r:id="rId7" display="Department of Psychology, Social Work and Public Health"/>
    <hyperlink ref="E41" r:id="rId8" display="Rankings Schools of Social Work "/>
    <hyperlink ref="E42" r:id="rId9" display="Rankings Schools of Social Work "/>
    <hyperlink ref="E51" r:id="rId10" display="Social care and social work improvement Scotland"/>
    <hyperlink ref="E52" r:id="rId11" display="Northern Ireland Social Care Council"/>
    <hyperlink ref="E63" r:id="rId12" display="British Association of Social Workers"/>
    <hyperlink ref="F34" r:id="rId13" display="http://www.southwales.ac.uk/study/subjects/social-work-social-care/"/>
  </hyperlinks>
  <printOptions/>
  <pageMargins left="0.75" right="0.75" top="1.7875" bottom="1.7875" header="0.5118055555555555" footer="0.5118055555555555"/>
  <pageSetup horizontalDpi="300" verticalDpi="300" orientation="portrait" paperSize="9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6"/>
  <sheetViews>
    <sheetView zoomScalePageLayoutView="0" workbookViewId="0" topLeftCell="A1">
      <selection activeCell="A37" sqref="A37"/>
    </sheetView>
  </sheetViews>
  <sheetFormatPr defaultColWidth="11.140625" defaultRowHeight="12.75"/>
  <cols>
    <col min="1" max="1" width="11.140625" style="138" customWidth="1"/>
    <col min="2" max="2" width="8.421875" style="138" customWidth="1"/>
    <col min="3" max="3" width="50.28125" style="138" customWidth="1"/>
    <col min="4" max="4" width="39.00390625" style="138" customWidth="1"/>
    <col min="5" max="5" width="39.7109375" style="138" customWidth="1"/>
    <col min="6" max="6" width="24.7109375" style="138" customWidth="1"/>
    <col min="7" max="7" width="19.7109375" style="138" customWidth="1"/>
    <col min="8" max="8" width="13.57421875" style="138" customWidth="1"/>
    <col min="9" max="9" width="44.00390625" style="138" customWidth="1"/>
    <col min="10" max="10" width="42.421875" style="138" customWidth="1"/>
    <col min="11" max="11" width="22.140625" style="138" customWidth="1"/>
    <col min="12" max="16384" width="11.140625" style="138" customWidth="1"/>
  </cols>
  <sheetData>
    <row r="1" spans="3:14" s="129" customFormat="1" ht="21">
      <c r="C1" s="130" t="s">
        <v>121</v>
      </c>
      <c r="D1" s="130"/>
      <c r="E1" s="130"/>
      <c r="F1" s="130"/>
      <c r="G1" s="131"/>
      <c r="H1" s="131"/>
      <c r="I1" s="131"/>
      <c r="J1" s="131"/>
      <c r="K1" s="131"/>
      <c r="L1" s="131"/>
      <c r="M1" s="131"/>
      <c r="N1" s="131"/>
    </row>
    <row r="2" spans="3:14" s="132" customFormat="1" ht="12.75">
      <c r="C2" s="133"/>
      <c r="D2" s="133"/>
      <c r="E2" s="133"/>
      <c r="F2" s="133"/>
      <c r="G2" s="134"/>
      <c r="H2" s="134"/>
      <c r="I2" s="134"/>
      <c r="J2" s="134"/>
      <c r="K2" s="134"/>
      <c r="L2" s="134"/>
      <c r="M2" s="134"/>
      <c r="N2" s="134"/>
    </row>
    <row r="3" s="132" customFormat="1" ht="12.75"/>
    <row r="4" spans="3:14" s="135" customFormat="1" ht="17.25">
      <c r="C4" s="136" t="s">
        <v>8</v>
      </c>
      <c r="D4" s="136"/>
      <c r="E4" s="136"/>
      <c r="F4" s="136"/>
      <c r="G4" s="137"/>
      <c r="H4" s="137"/>
      <c r="I4" s="137"/>
      <c r="J4" s="137"/>
      <c r="K4" s="137"/>
      <c r="L4" s="137"/>
      <c r="M4" s="137"/>
      <c r="N4" s="137"/>
    </row>
    <row r="6" ht="12.75">
      <c r="C6" s="139" t="s">
        <v>80</v>
      </c>
    </row>
    <row r="7" spans="3:7" ht="12.75">
      <c r="C7" s="78"/>
      <c r="D7" s="78"/>
      <c r="E7" s="78"/>
      <c r="F7" s="78"/>
      <c r="G7" s="78"/>
    </row>
    <row r="8" spans="2:8" ht="12.75">
      <c r="B8" s="140" t="s">
        <v>173</v>
      </c>
      <c r="C8" s="141" t="s">
        <v>11</v>
      </c>
      <c r="D8" s="142" t="s">
        <v>12</v>
      </c>
      <c r="E8" s="141" t="s">
        <v>13</v>
      </c>
      <c r="F8" s="141" t="s">
        <v>14</v>
      </c>
      <c r="H8" s="78"/>
    </row>
    <row r="9" spans="2:8" ht="13.5" customHeight="1">
      <c r="B9" s="140">
        <v>1</v>
      </c>
      <c r="C9" s="143" t="str">
        <f>HYPERLINK("http://www.mcgill.ca/","McGill University")</f>
        <v>McGill University</v>
      </c>
      <c r="D9" s="63" t="str">
        <f>HYPERLINK("http://www.mcgill.ca/socialwork/","McGill School of Social Work")</f>
        <v>McGill School of Social Work</v>
      </c>
      <c r="E9" s="144" t="s">
        <v>127</v>
      </c>
      <c r="F9" s="145" t="s">
        <v>28</v>
      </c>
      <c r="H9" s="146" t="s">
        <v>17</v>
      </c>
    </row>
    <row r="10" spans="2:9" ht="13.5" customHeight="1">
      <c r="B10" s="140">
        <v>2</v>
      </c>
      <c r="C10" s="143" t="str">
        <f>HYPERLINK("http://www.utoronto.ca/","University of Toronto")</f>
        <v>University of Toronto</v>
      </c>
      <c r="D10" s="61" t="s">
        <v>316</v>
      </c>
      <c r="E10" s="144" t="s">
        <v>132</v>
      </c>
      <c r="F10" s="145" t="s">
        <v>16</v>
      </c>
      <c r="H10" s="147" t="s">
        <v>19</v>
      </c>
      <c r="I10" s="147" t="s">
        <v>20</v>
      </c>
    </row>
    <row r="11" spans="2:11" ht="13.5" customHeight="1">
      <c r="B11" s="140">
        <v>3</v>
      </c>
      <c r="C11" s="143" t="str">
        <f>HYPERLINK("http://www.ubc.ca/","University of British Columbia")</f>
        <v>University of British Columbia</v>
      </c>
      <c r="D11" s="63" t="str">
        <f>HYPERLINK("http://www.ubc.ca/okanagan/socialwork/welcome.html","UBC School of Social Work")</f>
        <v>UBC School of Social Work</v>
      </c>
      <c r="E11" s="144" t="s">
        <v>130</v>
      </c>
      <c r="F11" s="145" t="s">
        <v>28</v>
      </c>
      <c r="H11" s="148" t="s">
        <v>22</v>
      </c>
      <c r="I11" s="149" t="s">
        <v>23</v>
      </c>
      <c r="K11" s="78"/>
    </row>
    <row r="12" spans="2:12" ht="13.5" customHeight="1">
      <c r="B12" s="140">
        <v>4</v>
      </c>
      <c r="C12" s="62" t="str">
        <f>HYPERLINK("http://www.kings.uwo.ca/","King's University College (University of Western Ontario)")</f>
        <v>King's University College (University of Western Ontario)</v>
      </c>
      <c r="D12" s="63" t="str">
        <f>HYPERLINK("http://www.kings.uwo.ca/socialwork/","K-U School of Social Work")</f>
        <v>K-U School of Social Work</v>
      </c>
      <c r="E12" s="144" t="s">
        <v>124</v>
      </c>
      <c r="F12" s="145" t="s">
        <v>92</v>
      </c>
      <c r="H12" s="148" t="s">
        <v>25</v>
      </c>
      <c r="I12" s="149" t="s">
        <v>26</v>
      </c>
      <c r="K12" s="150"/>
      <c r="L12" s="78"/>
    </row>
    <row r="13" spans="2:12" ht="13.5" customHeight="1">
      <c r="B13" s="140">
        <v>6</v>
      </c>
      <c r="C13" s="143" t="str">
        <f>HYPERLINK("http://www.mcmaster.ca/","McMaster University")</f>
        <v>McMaster University</v>
      </c>
      <c r="D13" s="61" t="str">
        <f>HYPERLINK("http://www.socialwork.mcmaster.ca/","Department of Social Work")</f>
        <v>Department of Social Work</v>
      </c>
      <c r="E13" s="144" t="s">
        <v>128</v>
      </c>
      <c r="F13" s="145" t="s">
        <v>28</v>
      </c>
      <c r="H13" s="148" t="s">
        <v>29</v>
      </c>
      <c r="I13" s="149" t="s">
        <v>30</v>
      </c>
      <c r="J13" s="150"/>
      <c r="K13" s="151"/>
      <c r="L13" s="78"/>
    </row>
    <row r="14" spans="2:12" ht="13.5" customHeight="1">
      <c r="B14" s="140">
        <v>9</v>
      </c>
      <c r="C14" s="62" t="str">
        <f>HYPERLINK("http://www.renison.uwaterloo.ca/","University of Waterloo")</f>
        <v>University of Waterloo</v>
      </c>
      <c r="D14" s="61" t="str">
        <f>HYPERLINK("https://uwaterloo.ca/school-of-social-work/","Renison School of Social Work")</f>
        <v>Renison School of Social Work</v>
      </c>
      <c r="E14" s="144" t="s">
        <v>131</v>
      </c>
      <c r="F14" s="145" t="s">
        <v>92</v>
      </c>
      <c r="H14" s="78"/>
      <c r="I14" s="151"/>
      <c r="J14" s="150"/>
      <c r="K14" s="151"/>
      <c r="L14" s="151"/>
    </row>
    <row r="15" spans="2:12" ht="13.5" customHeight="1">
      <c r="B15" s="140">
        <v>10</v>
      </c>
      <c r="C15" s="143" t="str">
        <f>HYPERLINK("http://www.ucalgary.ca/","University of Calgary")</f>
        <v>University of Calgary</v>
      </c>
      <c r="D15" s="63" t="str">
        <f>HYPERLINK("http://fsw.ucalgary.ca/","Calgary Faculty of Social Work")</f>
        <v>Calgary Faculty of Social Work</v>
      </c>
      <c r="E15" s="144" t="s">
        <v>135</v>
      </c>
      <c r="F15" s="145" t="s">
        <v>28</v>
      </c>
      <c r="H15" s="78"/>
      <c r="I15" s="78"/>
      <c r="J15" s="150"/>
      <c r="K15" s="151"/>
      <c r="L15" s="78"/>
    </row>
    <row r="16" spans="2:11" ht="13.5" customHeight="1">
      <c r="B16" s="140">
        <v>12</v>
      </c>
      <c r="C16" s="143" t="str">
        <f>HYPERLINK("http://www.dal.ca/","Dalhousie University")</f>
        <v>Dalhousie University</v>
      </c>
      <c r="D16" s="63" t="str">
        <f>HYPERLINK("http://socialwork.dal.ca/","D-U School of Social Work")</f>
        <v>D-U School of Social Work</v>
      </c>
      <c r="E16" s="144" t="s">
        <v>123</v>
      </c>
      <c r="F16" s="145" t="s">
        <v>92</v>
      </c>
      <c r="H16" s="78"/>
      <c r="J16" s="78"/>
      <c r="K16" s="78"/>
    </row>
    <row r="17" spans="2:8" ht="13.5" customHeight="1">
      <c r="B17" s="140">
        <v>14</v>
      </c>
      <c r="C17" s="143" t="str">
        <f>HYPERLINK("http://www.uvic.ca/","University of Victoria")</f>
        <v>University of Victoria</v>
      </c>
      <c r="D17" s="63" t="str">
        <f>HYPERLINK("http://socialwork.uvic.ca/","U-V School of Social Work")</f>
        <v>U-V School of Social Work</v>
      </c>
      <c r="E17" s="144" t="s">
        <v>139</v>
      </c>
      <c r="F17" s="145" t="s">
        <v>92</v>
      </c>
      <c r="H17" s="78"/>
    </row>
    <row r="18" spans="2:8" ht="13.5" customHeight="1">
      <c r="B18" s="140">
        <v>17</v>
      </c>
      <c r="C18" s="62" t="str">
        <f>HYPERLINK("http://umanitoba.ca/","University of Manitoba ")</f>
        <v>University of Manitoba </v>
      </c>
      <c r="D18" s="63" t="str">
        <f>HYPERLINK("http://www.umanitoba.ca/faculties/social_work/","U-M Faculty of Social Work")</f>
        <v>U-M Faculty of Social Work</v>
      </c>
      <c r="E18" s="144" t="s">
        <v>136</v>
      </c>
      <c r="F18" s="145" t="s">
        <v>28</v>
      </c>
      <c r="H18" s="78"/>
    </row>
    <row r="19" spans="2:8" ht="13.5" customHeight="1">
      <c r="B19" s="152"/>
      <c r="C19" s="143" t="str">
        <f>HYPERLINK("http://www.carleton.ca/","Carleton University")</f>
        <v>Carleton University</v>
      </c>
      <c r="D19" s="63" t="str">
        <f>HYPERLINK("http://www2.carleton.ca/socialwork/","C-U School of Social Work")</f>
        <v>C-U School of Social Work</v>
      </c>
      <c r="E19" s="144" t="s">
        <v>122</v>
      </c>
      <c r="F19" s="145" t="s">
        <v>28</v>
      </c>
      <c r="H19" s="78"/>
    </row>
    <row r="20" spans="2:8" ht="13.5" customHeight="1">
      <c r="B20" s="152"/>
      <c r="C20" s="62" t="str">
        <f>HYPERLINK("http://www.algomau.ca/","Algoma University")</f>
        <v>Algoma University</v>
      </c>
      <c r="D20" s="61" t="str">
        <f>HYPERLINK("http://www.algomau.ca/social-work/","Department of Social Work")</f>
        <v>Department of Social Work</v>
      </c>
      <c r="E20" s="144" t="s">
        <v>295</v>
      </c>
      <c r="F20" s="145" t="s">
        <v>22</v>
      </c>
      <c r="H20" s="78"/>
    </row>
    <row r="21" spans="2:8" ht="13.5" customHeight="1">
      <c r="B21" s="152"/>
      <c r="C21" s="143" t="str">
        <f>HYPERLINK("http://www.lakeheadu.ca/","Lakehead University")</f>
        <v>Lakehead University</v>
      </c>
      <c r="D21" s="63" t="str">
        <f>HYPERLINK("http://socialwork.lakeheadu.ca/","Lakehead School of Social Work")</f>
        <v>Lakehead School of Social Work</v>
      </c>
      <c r="E21" s="144" t="s">
        <v>125</v>
      </c>
      <c r="F21" s="145" t="s">
        <v>92</v>
      </c>
      <c r="H21" s="78"/>
    </row>
    <row r="22" spans="2:8" ht="13.5" customHeight="1">
      <c r="B22" s="152"/>
      <c r="C22" s="62" t="str">
        <f>HYPERLINK("http://www.laurentian.ca/","Laurentian University")</f>
        <v>Laurentian University</v>
      </c>
      <c r="D22" s="61" t="s">
        <v>317</v>
      </c>
      <c r="E22" s="144" t="s">
        <v>126</v>
      </c>
      <c r="F22" s="145" t="s">
        <v>92</v>
      </c>
      <c r="H22" s="78"/>
    </row>
    <row r="23" spans="2:8" ht="13.5" customHeight="1">
      <c r="B23" s="152"/>
      <c r="C23" s="143" t="str">
        <f>HYPERLINK("http://www.mun.ca/","Memorial University of Newfoundland")</f>
        <v>Memorial University of Newfoundland</v>
      </c>
      <c r="D23" s="63" t="str">
        <f>HYPERLINK("http://www.mun.ca/socwrk/home/","M-U School of Social Work")</f>
        <v>M-U School of Social Work</v>
      </c>
      <c r="E23" s="144" t="s">
        <v>129</v>
      </c>
      <c r="F23" s="145" t="s">
        <v>28</v>
      </c>
      <c r="H23" s="78"/>
    </row>
    <row r="24" spans="2:8" ht="13.5" customHeight="1">
      <c r="B24" s="152"/>
      <c r="C24" s="62" t="str">
        <f>HYPERLINK("http://www.nvit.ca/","Nicola Valley Institute of Technology")</f>
        <v>Nicola Valley Institute of Technology</v>
      </c>
      <c r="D24" s="61" t="str">
        <f>HYPERLINK("http://www.nvit.ca/bachelorofsocialwork.htm","Social Work Department")</f>
        <v>Social Work Department</v>
      </c>
      <c r="E24" s="144" t="s">
        <v>130</v>
      </c>
      <c r="F24" s="145" t="s">
        <v>22</v>
      </c>
      <c r="H24" s="78"/>
    </row>
    <row r="25" spans="2:8" ht="13.5" customHeight="1">
      <c r="B25" s="152"/>
      <c r="C25" s="62" t="str">
        <f>HYPERLINK("http://www.ryerson.ca/index.html","Ryerson University")</f>
        <v>Ryerson University</v>
      </c>
      <c r="D25" s="63" t="str">
        <f>HYPERLINK("http://www.ryerson.ca/socialwork/","Ryerson School of Social Work")</f>
        <v>Ryerson School of Social Work</v>
      </c>
      <c r="E25" s="144" t="s">
        <v>132</v>
      </c>
      <c r="F25" s="145" t="s">
        <v>92</v>
      </c>
      <c r="H25" s="78"/>
    </row>
    <row r="26" spans="2:8" ht="13.5" customHeight="1">
      <c r="B26" s="152"/>
      <c r="C26" s="143" t="str">
        <f>HYPERLINK("http://w3.stu.ca/stu/default.aspx","St.Thomas University")</f>
        <v>St.Thomas University</v>
      </c>
      <c r="D26" s="63" t="str">
        <f>HYPERLINK("http://www.stthomas.edu/socialwork/","U. St. Thomas School of Social Work")</f>
        <v>U. St. Thomas School of Social Work</v>
      </c>
      <c r="E26" s="144" t="s">
        <v>133</v>
      </c>
      <c r="F26" s="145" t="s">
        <v>28</v>
      </c>
      <c r="H26" s="78"/>
    </row>
    <row r="27" spans="2:8" ht="13.5" customHeight="1">
      <c r="B27" s="152"/>
      <c r="C27" s="62" t="str">
        <f>HYPERLINK("http://www.tru.ca/","Thompson Rivers University")</f>
        <v>Thompson Rivers University</v>
      </c>
      <c r="D27" s="63" t="str">
        <f>HYPERLINK("http://www.tru.ca/socialwork.html","TRU Faculty of Human, Social ...")</f>
        <v>TRU Faculty of Human, Social ...</v>
      </c>
      <c r="E27" s="144" t="s">
        <v>134</v>
      </c>
      <c r="F27" s="145" t="s">
        <v>92</v>
      </c>
      <c r="H27" s="78"/>
    </row>
    <row r="28" spans="2:8" ht="13.5" customHeight="1">
      <c r="B28" s="152"/>
      <c r="C28" s="143" t="str">
        <f>HYPERLINK("http://www.unbc.ca/","University of Northern British Columbia")</f>
        <v>University of Northern British Columbia</v>
      </c>
      <c r="D28" s="63" t="str">
        <f>HYPERLINK("http://www.unbc.ca/socialwork/index.html","UNBC School of Social Work")</f>
        <v>UNBC School of Social Work</v>
      </c>
      <c r="E28" s="144" t="s">
        <v>138</v>
      </c>
      <c r="F28" s="145" t="s">
        <v>92</v>
      </c>
      <c r="H28" s="78"/>
    </row>
    <row r="29" spans="2:8" ht="13.5" customHeight="1">
      <c r="B29" s="152"/>
      <c r="C29" s="143" t="str">
        <f>HYPERLINK("http://www.uregina.ca/","University of Regina")</f>
        <v>University of Regina</v>
      </c>
      <c r="D29" s="63" t="str">
        <f>HYPERLINK("http://www.uregina.ca/socialwork/","U-Regina Faculty of Social Work")</f>
        <v>U-Regina Faculty of Social Work</v>
      </c>
      <c r="E29" s="144" t="s">
        <v>137</v>
      </c>
      <c r="F29" s="145" t="s">
        <v>92</v>
      </c>
      <c r="H29" s="78"/>
    </row>
    <row r="30" spans="2:8" ht="13.5" customHeight="1">
      <c r="B30" s="152"/>
      <c r="C30" s="104" t="str">
        <f>HYPERLINK("http://www.ufv.ca/","University of the Fraser Valley")</f>
        <v>University of the Fraser Valley</v>
      </c>
      <c r="D30" s="104" t="s">
        <v>361</v>
      </c>
      <c r="E30" s="153" t="s">
        <v>296</v>
      </c>
      <c r="F30" s="153" t="s">
        <v>92</v>
      </c>
      <c r="H30" s="78"/>
    </row>
    <row r="31" spans="2:8" ht="13.5" customHeight="1">
      <c r="B31" s="152"/>
      <c r="C31" s="143" t="str">
        <f>HYPERLINK("http://www.uwindsor.ca/","University of Windsor")</f>
        <v>University of Windsor</v>
      </c>
      <c r="D31" s="63" t="str">
        <f>HYPERLINK("http://web4.uwindsor.ca/socialwork","U-Windsor School of Social Work")</f>
        <v>U-Windsor School of Social Work</v>
      </c>
      <c r="E31" s="144" t="s">
        <v>140</v>
      </c>
      <c r="F31" s="145" t="s">
        <v>28</v>
      </c>
      <c r="H31" s="78"/>
    </row>
    <row r="32" spans="2:8" ht="13.5" customHeight="1">
      <c r="B32" s="152"/>
      <c r="C32" s="143" t="str">
        <f>HYPERLINK("http://www.wlu.ca/","Wilfrid Laurier University")</f>
        <v>Wilfrid Laurier University</v>
      </c>
      <c r="D32" s="63" t="str">
        <f>HYPERLINK("http://www.wlu.ca/socialwork","Faculty of Social Work at Laurier U.")</f>
        <v>Faculty of Social Work at Laurier U.</v>
      </c>
      <c r="E32" s="144" t="s">
        <v>131</v>
      </c>
      <c r="F32" s="154" t="s">
        <v>16</v>
      </c>
      <c r="H32" s="78"/>
    </row>
    <row r="33" spans="2:8" ht="13.5" customHeight="1">
      <c r="B33" s="152"/>
      <c r="C33" s="62" t="str">
        <f>HYPERLINK("http://www.yorku.ca/web/index.htm","York University")</f>
        <v>York University</v>
      </c>
      <c r="D33" s="61" t="str">
        <f>HYPERLINK("http://www.yorku.ca/laps/sowk/","York School of Social Work")</f>
        <v>York School of Social Work</v>
      </c>
      <c r="E33" s="144" t="s">
        <v>132</v>
      </c>
      <c r="F33" s="145" t="s">
        <v>28</v>
      </c>
      <c r="H33" s="78"/>
    </row>
    <row r="34" ht="12.75">
      <c r="G34" s="78"/>
    </row>
    <row r="35" ht="12.75">
      <c r="C35" s="139" t="s">
        <v>141</v>
      </c>
    </row>
    <row r="36" spans="3:5" ht="12.75">
      <c r="C36" s="78"/>
      <c r="D36" s="78"/>
      <c r="E36" s="78"/>
    </row>
    <row r="37" spans="3:6" ht="12.75">
      <c r="C37" s="141" t="s">
        <v>142</v>
      </c>
      <c r="D37" s="141" t="s">
        <v>14</v>
      </c>
      <c r="F37" s="78"/>
    </row>
    <row r="38" spans="3:6" ht="13.5" customHeight="1">
      <c r="C38" s="143" t="str">
        <f>HYPERLINK("http://www.usherbrooke.ca/servicesocial/","Collège Universitaire de Saint-Boniface")</f>
        <v>Collège Universitaire de Saint-Boniface</v>
      </c>
      <c r="D38" s="155" t="s">
        <v>22</v>
      </c>
      <c r="F38" s="78"/>
    </row>
    <row r="39" spans="3:6" ht="13.5" customHeight="1">
      <c r="C39" s="62" t="str">
        <f>HYPERLINK("https://laurentian.ca/faculty-health","Laurentian University/Université Laurentienne")</f>
        <v>Laurentian University/Université Laurentienne</v>
      </c>
      <c r="D39" s="155" t="s">
        <v>92</v>
      </c>
      <c r="F39" s="78"/>
    </row>
    <row r="40" spans="3:6" ht="13.5" customHeight="1">
      <c r="C40" s="143" t="str">
        <f>HYPERLINK("http://www.umoncton.ca/","Université de Moncton")</f>
        <v>Université de Moncton</v>
      </c>
      <c r="D40" s="155" t="s">
        <v>92</v>
      </c>
      <c r="F40" s="78"/>
    </row>
    <row r="41" spans="3:6" ht="13.5" customHeight="1">
      <c r="C41" s="143" t="str">
        <f>HYPERLINK("http://www.esersoc.umontreal.ca/","Université de Montréal")</f>
        <v>Université de Montréal</v>
      </c>
      <c r="D41" s="155" t="s">
        <v>28</v>
      </c>
      <c r="F41" s="78"/>
    </row>
    <row r="42" spans="3:4" ht="13.5" customHeight="1">
      <c r="C42" s="143" t="str">
        <f>HYPERLINK("http://www.uqat.ca/programmes/index.asp?menu=shum","Université de Sherbrooke ")</f>
        <v>Université de Sherbrooke </v>
      </c>
      <c r="D42" s="155" t="s">
        <v>28</v>
      </c>
    </row>
    <row r="43" spans="3:4" ht="13.5" customHeight="1">
      <c r="C43" s="62" t="str">
        <f>HYPERLINK("http://www2.ulaval.ca/accueil.html","Université Laval")</f>
        <v>Université Laval</v>
      </c>
      <c r="D43" s="155" t="s">
        <v>28</v>
      </c>
    </row>
    <row r="44" spans="3:4" ht="13.5" customHeight="1">
      <c r="C44" s="62" t="str">
        <f>HYPERLINK("http://uqo.ca/","Université du Québec à Chicoutimi")</f>
        <v>Université du Québec à Chicoutimi</v>
      </c>
      <c r="D44" s="155" t="s">
        <v>28</v>
      </c>
    </row>
    <row r="45" spans="3:4" ht="13.5" customHeight="1">
      <c r="C45" s="62" t="str">
        <f>HYPERLINK("http://travailsocial.uqam.ca/la-formation/baccalaureat-en-travail-social","Université du Québec à Montréal")</f>
        <v>Université du Québec à Montréal</v>
      </c>
      <c r="D45" s="155" t="s">
        <v>92</v>
      </c>
    </row>
    <row r="46" spans="3:5" ht="12.75">
      <c r="C46" s="78"/>
      <c r="D46" s="78"/>
      <c r="E46" s="78"/>
    </row>
    <row r="48" ht="12.75">
      <c r="C48" s="139" t="s">
        <v>143</v>
      </c>
    </row>
    <row r="49" spans="4:5" ht="12.75">
      <c r="D49" s="78"/>
      <c r="E49" s="78"/>
    </row>
    <row r="50" spans="3:6" ht="15.75" customHeight="1">
      <c r="C50" s="148" t="s">
        <v>48</v>
      </c>
      <c r="D50" s="148" t="s">
        <v>49</v>
      </c>
      <c r="F50" s="78"/>
    </row>
    <row r="51" spans="3:6" ht="16.5" customHeight="1">
      <c r="C51" s="49" t="str">
        <f>HYPERLINK("http://www.caswe-acfts.ca/en/Universities_37.html","Universities of Social Work in Kanada")</f>
        <v>Universities of Social Work in Kanada</v>
      </c>
      <c r="D51" s="110" t="s">
        <v>297</v>
      </c>
      <c r="F51" s="78"/>
    </row>
    <row r="52" spans="3:6" ht="15.75" customHeight="1">
      <c r="C52" s="49" t="s">
        <v>318</v>
      </c>
      <c r="D52" s="156" t="s">
        <v>144</v>
      </c>
      <c r="F52" s="78"/>
    </row>
    <row r="53" spans="3:6" ht="15.75" customHeight="1">
      <c r="C53" s="49" t="s">
        <v>319</v>
      </c>
      <c r="D53" s="156" t="s">
        <v>145</v>
      </c>
      <c r="F53" s="78"/>
    </row>
    <row r="54" spans="4:5" ht="12.75">
      <c r="D54" s="78"/>
      <c r="E54" s="78"/>
    </row>
    <row r="55" spans="3:6" s="135" customFormat="1" ht="17.25">
      <c r="C55" s="136" t="s">
        <v>56</v>
      </c>
      <c r="D55" s="157"/>
      <c r="E55" s="157"/>
      <c r="F55" s="157"/>
    </row>
    <row r="56" spans="4:14" ht="12.75">
      <c r="D56" s="78"/>
      <c r="E56" s="78"/>
      <c r="G56" s="158"/>
      <c r="H56" s="158"/>
      <c r="I56" s="158"/>
      <c r="J56" s="158"/>
      <c r="K56" s="158"/>
      <c r="L56" s="158"/>
      <c r="M56" s="158"/>
      <c r="N56" s="158"/>
    </row>
    <row r="57" spans="3:6" ht="15.75" customHeight="1">
      <c r="C57" s="141" t="s">
        <v>48</v>
      </c>
      <c r="D57" s="141" t="s">
        <v>49</v>
      </c>
      <c r="F57" s="151"/>
    </row>
    <row r="58" spans="3:6" ht="15.75" customHeight="1">
      <c r="C58" s="62" t="str">
        <f>HYPERLINK("http://www.socialworkfuture.org/","Social Work Action Network ")</f>
        <v>Social Work Action Network </v>
      </c>
      <c r="D58" s="96" t="s">
        <v>146</v>
      </c>
      <c r="F58" s="151"/>
    </row>
    <row r="59" spans="3:6" ht="15.75" customHeight="1">
      <c r="C59" s="62" t="str">
        <f>HYPERLINK("http://www.cic.gc.ca/english/resources/publications/employers/temp-foreign-worker-program.asp","Foreign Credentials Referral Office")</f>
        <v>Foreign Credentials Referral Office</v>
      </c>
      <c r="D59" s="96" t="s">
        <v>287</v>
      </c>
      <c r="F59" s="151"/>
    </row>
    <row r="60" spans="3:5" ht="17.25" customHeight="1">
      <c r="C60" s="104" t="str">
        <f>HYPERLINK("http://www.servicecanada.gc.ca/eng/qc/job_futures/statistics/4152.shtml","Social Workers in Canada")</f>
        <v>Social Workers in Canada</v>
      </c>
      <c r="D60" s="159" t="s">
        <v>291</v>
      </c>
      <c r="E60" s="78"/>
    </row>
    <row r="62" spans="3:6" s="135" customFormat="1" ht="17.25">
      <c r="C62" s="136" t="s">
        <v>118</v>
      </c>
      <c r="D62" s="157"/>
      <c r="E62" s="157"/>
      <c r="F62" s="157"/>
    </row>
    <row r="63" spans="4:14" ht="12.75">
      <c r="D63" s="78"/>
      <c r="E63" s="78"/>
      <c r="F63" s="78"/>
      <c r="G63" s="158"/>
      <c r="H63" s="158"/>
      <c r="I63" s="158"/>
      <c r="J63" s="158"/>
      <c r="K63" s="158"/>
      <c r="L63" s="158"/>
      <c r="M63" s="158"/>
      <c r="N63" s="158"/>
    </row>
    <row r="64" spans="3:5" ht="15.75" customHeight="1">
      <c r="C64" s="141" t="s">
        <v>48</v>
      </c>
      <c r="D64" s="141"/>
      <c r="E64" s="141" t="s">
        <v>49</v>
      </c>
    </row>
    <row r="65" spans="3:7" ht="22.5" customHeight="1">
      <c r="C65" s="84" t="str">
        <f>HYPERLINK("http://www.casw-acts.ca/","Canadian Association of Social Workers")</f>
        <v>Canadian Association of Social Workers</v>
      </c>
      <c r="D65" s="160" t="s">
        <v>147</v>
      </c>
      <c r="E65" s="85" t="s">
        <v>294</v>
      </c>
      <c r="G65" s="78"/>
    </row>
    <row r="66" spans="3:7" ht="18.75" customHeight="1">
      <c r="C66" s="62" t="s">
        <v>320</v>
      </c>
      <c r="D66" s="160" t="s">
        <v>147</v>
      </c>
      <c r="E66" s="85" t="s">
        <v>148</v>
      </c>
      <c r="G66" s="78"/>
    </row>
  </sheetData>
  <sheetProtection selectLockedCells="1" selectUnlockedCells="1"/>
  <autoFilter ref="B8:F33">
    <sortState ref="B9:F66">
      <sortCondition sortBy="value" ref="B9:B66"/>
    </sortState>
  </autoFilter>
  <hyperlinks>
    <hyperlink ref="D10" r:id="rId1" display="Faculty of Social Work"/>
    <hyperlink ref="D22" r:id="rId2" display="Faculty of Professional Schools"/>
    <hyperlink ref="C52" r:id="rId3" display="Ranking by Web Popularity 2013/2014"/>
    <hyperlink ref="C53" r:id="rId4" display="MacLeans - University Ranking 2014"/>
    <hyperlink ref="C66" r:id="rId5" display="Canadian Association for Social Work Education"/>
    <hyperlink ref="D30" r:id="rId6" display="School of Social Work and Social Services"/>
  </hyperlinks>
  <printOptions/>
  <pageMargins left="0.75" right="0.75" top="1.7875" bottom="1.7875" header="0.5118055555555555" footer="0.5118055555555555"/>
  <pageSetup horizontalDpi="300" verticalDpi="300" orientation="portrait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3"/>
  <sheetViews>
    <sheetView zoomScalePageLayoutView="0" workbookViewId="0" topLeftCell="A4">
      <selection activeCell="A1" sqref="A1"/>
    </sheetView>
  </sheetViews>
  <sheetFormatPr defaultColWidth="11.140625" defaultRowHeight="12.75"/>
  <cols>
    <col min="1" max="1" width="11.140625" style="75" customWidth="1"/>
    <col min="2" max="2" width="33.7109375" style="75" customWidth="1"/>
    <col min="3" max="3" width="44.8515625" style="75" customWidth="1"/>
    <col min="4" max="4" width="27.00390625" style="75" customWidth="1"/>
    <col min="5" max="5" width="28.00390625" style="75" customWidth="1"/>
    <col min="6" max="6" width="21.28125" style="75" customWidth="1"/>
    <col min="7" max="7" width="11.140625" style="75" customWidth="1"/>
    <col min="8" max="8" width="41.421875" style="75" customWidth="1"/>
    <col min="9" max="9" width="37.00390625" style="75" customWidth="1"/>
    <col min="10" max="10" width="31.57421875" style="75" customWidth="1"/>
    <col min="11" max="16384" width="11.140625" style="75" customWidth="1"/>
  </cols>
  <sheetData>
    <row r="1" spans="2:13" s="70" customFormat="1" ht="21">
      <c r="B1" s="69" t="s">
        <v>149</v>
      </c>
      <c r="C1" s="69"/>
      <c r="D1" s="69"/>
      <c r="E1" s="69"/>
      <c r="F1" s="131"/>
      <c r="G1" s="131"/>
      <c r="H1" s="131"/>
      <c r="I1" s="131"/>
      <c r="J1" s="131"/>
      <c r="K1" s="131"/>
      <c r="L1" s="131"/>
      <c r="M1" s="131"/>
    </row>
    <row r="2" spans="2:13" s="72" customFormat="1" ht="12.75">
      <c r="B2" s="71"/>
      <c r="C2" s="71"/>
      <c r="D2" s="71"/>
      <c r="E2" s="71"/>
      <c r="F2" s="134"/>
      <c r="G2" s="134"/>
      <c r="H2" s="134"/>
      <c r="I2" s="134"/>
      <c r="J2" s="134"/>
      <c r="K2" s="134"/>
      <c r="L2" s="134"/>
      <c r="M2" s="134"/>
    </row>
    <row r="3" s="72" customFormat="1" ht="12.75"/>
    <row r="4" spans="2:13" s="74" customFormat="1" ht="17.25">
      <c r="B4" s="73" t="s">
        <v>8</v>
      </c>
      <c r="C4" s="73"/>
      <c r="D4" s="73"/>
      <c r="E4" s="73"/>
      <c r="F4" s="137"/>
      <c r="G4" s="137"/>
      <c r="H4" s="137"/>
      <c r="I4" s="137"/>
      <c r="J4" s="137"/>
      <c r="K4" s="137"/>
      <c r="L4" s="137"/>
      <c r="M4" s="137"/>
    </row>
    <row r="6" ht="12.75">
      <c r="B6" s="77" t="s">
        <v>150</v>
      </c>
    </row>
    <row r="7" spans="3:6" ht="12.75">
      <c r="C7" s="106"/>
      <c r="D7" s="106"/>
      <c r="E7" s="106"/>
      <c r="F7" s="78"/>
    </row>
    <row r="8" spans="2:7" ht="12.75">
      <c r="B8" s="161" t="s">
        <v>11</v>
      </c>
      <c r="C8" s="162" t="s">
        <v>151</v>
      </c>
      <c r="D8" s="163" t="s">
        <v>13</v>
      </c>
      <c r="E8" s="161" t="s">
        <v>14</v>
      </c>
      <c r="F8" s="138"/>
      <c r="G8" s="78"/>
    </row>
    <row r="9" spans="2:9" ht="15" customHeight="1">
      <c r="B9" s="66" t="str">
        <f>HYPERLINK("http://www.acu.edu.au/","Australian Catholic University")</f>
        <v>Australian Catholic University</v>
      </c>
      <c r="C9" s="64" t="s">
        <v>321</v>
      </c>
      <c r="D9" s="111" t="s">
        <v>273</v>
      </c>
      <c r="E9" s="164" t="s">
        <v>92</v>
      </c>
      <c r="F9" s="138"/>
      <c r="G9" s="165" t="s">
        <v>17</v>
      </c>
      <c r="I9" s="138"/>
    </row>
    <row r="10" spans="2:9" ht="15" customHeight="1">
      <c r="B10" s="49" t="str">
        <f>HYPERLINK("http://cqu.edu.au/","Central Queensland University")</f>
        <v>Central Queensland University</v>
      </c>
      <c r="C10" s="64" t="str">
        <f>HYPERLINK("https://www.cqu.edu.au/courses-and-programs/study-areas/psychology,-social-work-and-community-services","Department of Social Work and Community Services")</f>
        <v>Department of Social Work and Community Services</v>
      </c>
      <c r="D10" s="111" t="s">
        <v>152</v>
      </c>
      <c r="E10" s="164" t="s">
        <v>22</v>
      </c>
      <c r="F10" s="138"/>
      <c r="G10" s="88" t="s">
        <v>19</v>
      </c>
      <c r="H10" s="88" t="s">
        <v>20</v>
      </c>
      <c r="I10" s="138"/>
    </row>
    <row r="11" spans="2:10" ht="15" customHeight="1">
      <c r="B11" s="66" t="str">
        <f>HYPERLINK("http://www.cdu.edu.au/","Charles Darwin University")</f>
        <v>Charles Darwin University</v>
      </c>
      <c r="C11" s="64" t="str">
        <f>HYPERLINK("http://www.cdu.edu.au/health","CDU School of Health")</f>
        <v>CDU School of Health</v>
      </c>
      <c r="D11" s="111" t="s">
        <v>153</v>
      </c>
      <c r="E11" s="164" t="s">
        <v>22</v>
      </c>
      <c r="F11" s="138"/>
      <c r="G11" s="161" t="s">
        <v>22</v>
      </c>
      <c r="H11" s="166" t="s">
        <v>23</v>
      </c>
      <c r="I11" s="138"/>
      <c r="J11" s="78"/>
    </row>
    <row r="12" spans="2:11" ht="15" customHeight="1">
      <c r="B12" s="66" t="str">
        <f>HYPERLINK("http://www.csu.edu.au/","Charles Sturt University")</f>
        <v>Charles Sturt University</v>
      </c>
      <c r="C12" s="64" t="s">
        <v>322</v>
      </c>
      <c r="D12" s="111" t="s">
        <v>154</v>
      </c>
      <c r="E12" s="164" t="s">
        <v>28</v>
      </c>
      <c r="F12" s="138"/>
      <c r="G12" s="161" t="s">
        <v>25</v>
      </c>
      <c r="H12" s="166" t="s">
        <v>26</v>
      </c>
      <c r="I12" s="138"/>
      <c r="J12" s="81"/>
      <c r="K12" s="78"/>
    </row>
    <row r="13" spans="2:11" ht="15" customHeight="1">
      <c r="B13" s="66" t="str">
        <f>HYPERLINK("http://www.curtin.edu.au/","Curtin University of Technology")</f>
        <v>Curtin University of Technology</v>
      </c>
      <c r="C13" s="64" t="s">
        <v>324</v>
      </c>
      <c r="D13" s="111" t="s">
        <v>323</v>
      </c>
      <c r="E13" s="164" t="s">
        <v>22</v>
      </c>
      <c r="F13" s="138"/>
      <c r="G13" s="161" t="s">
        <v>29</v>
      </c>
      <c r="H13" s="166" t="s">
        <v>30</v>
      </c>
      <c r="I13" s="138"/>
      <c r="J13" s="91"/>
      <c r="K13" s="91"/>
    </row>
    <row r="14" spans="2:11" ht="15" customHeight="1">
      <c r="B14" s="66" t="str">
        <f>HYPERLINK("http://www.deakin.edu.au/","Deakin University")</f>
        <v>Deakin University</v>
      </c>
      <c r="C14" s="64" t="s">
        <v>325</v>
      </c>
      <c r="D14" s="111" t="s">
        <v>155</v>
      </c>
      <c r="E14" s="164" t="s">
        <v>28</v>
      </c>
      <c r="F14" s="138"/>
      <c r="G14" s="78"/>
      <c r="H14" s="78"/>
      <c r="I14" s="81"/>
      <c r="J14" s="91"/>
      <c r="K14" s="78"/>
    </row>
    <row r="15" spans="2:11" ht="15" customHeight="1">
      <c r="B15" s="66" t="str">
        <f>HYPERLINK("http://www.ecu.edu.au/","Edith Cowan University")</f>
        <v>Edith Cowan University</v>
      </c>
      <c r="C15" s="64" t="s">
        <v>326</v>
      </c>
      <c r="D15" s="111" t="s">
        <v>327</v>
      </c>
      <c r="E15" s="164" t="s">
        <v>22</v>
      </c>
      <c r="F15" s="138"/>
      <c r="G15" s="78"/>
      <c r="H15" s="91"/>
      <c r="I15" s="81"/>
      <c r="J15" s="91"/>
      <c r="K15" s="91"/>
    </row>
    <row r="16" spans="2:10" ht="15" customHeight="1">
      <c r="B16" s="66" t="str">
        <f>HYPERLINK("http://www.flinders.edu.au/","Flinders University of South Australia")</f>
        <v>Flinders University of South Australia</v>
      </c>
      <c r="C16" s="64" t="s">
        <v>328</v>
      </c>
      <c r="D16" s="111" t="s">
        <v>156</v>
      </c>
      <c r="E16" s="164" t="s">
        <v>28</v>
      </c>
      <c r="F16" s="138"/>
      <c r="G16" s="78"/>
      <c r="I16" s="78"/>
      <c r="J16" s="78"/>
    </row>
    <row r="17" spans="2:7" ht="15" customHeight="1">
      <c r="B17" s="66" t="str">
        <f>HYPERLINK("http://www.griffith.edu.au/","Griffith University")</f>
        <v>Griffith University</v>
      </c>
      <c r="C17" s="67" t="str">
        <f>HYPERLINK("http://www.griffith.edu.au/health/school-human-services-social-work","Griffith School of Human Services and Social Work")</f>
        <v>Griffith School of Human Services and Social Work</v>
      </c>
      <c r="D17" s="111" t="s">
        <v>329</v>
      </c>
      <c r="E17" s="164" t="s">
        <v>28</v>
      </c>
      <c r="F17" s="138"/>
      <c r="G17" s="78"/>
    </row>
    <row r="18" spans="2:7" ht="15" customHeight="1">
      <c r="B18" s="66" t="str">
        <f>HYPERLINK("http://www.jcu.edu.au/","James Cook University")</f>
        <v>James Cook University</v>
      </c>
      <c r="C18" s="64" t="str">
        <f>HYPERLINK("https://www.jcu.edu.au/courses-and-study/courses/bachelor-of-social-work","Bachelor of Social Work")</f>
        <v>Bachelor of Social Work</v>
      </c>
      <c r="D18" s="111" t="s">
        <v>157</v>
      </c>
      <c r="E18" s="164" t="s">
        <v>92</v>
      </c>
      <c r="F18" s="138"/>
      <c r="G18" s="78"/>
    </row>
    <row r="19" spans="2:7" ht="15" customHeight="1">
      <c r="B19" s="49" t="str">
        <f>HYPERLINK("http://www.latrobe.edu.au/","La Trobe University")</f>
        <v>La Trobe University</v>
      </c>
      <c r="C19" s="64" t="str">
        <f>HYPERLINK("http://www.latrobe.edu.au/courses/social-work","La Trobe U. Health Sciences")</f>
        <v>La Trobe U. Health Sciences</v>
      </c>
      <c r="D19" s="111" t="s">
        <v>330</v>
      </c>
      <c r="E19" s="164" t="s">
        <v>28</v>
      </c>
      <c r="F19" s="138"/>
      <c r="G19" s="78"/>
    </row>
    <row r="20" spans="2:7" ht="15" customHeight="1">
      <c r="B20" s="66" t="str">
        <f>HYPERLINK("http://www.monash.edu.au/","Monash University")</f>
        <v>Monash University</v>
      </c>
      <c r="C20" s="67" t="str">
        <f>HYPERLINK("http://www.med.monash.edu.au/socialwork/","Monash -Department of Social Work")</f>
        <v>Monash -Department of Social Work</v>
      </c>
      <c r="D20" s="111" t="s">
        <v>159</v>
      </c>
      <c r="E20" s="164" t="s">
        <v>28</v>
      </c>
      <c r="F20" s="138"/>
      <c r="G20" s="78"/>
    </row>
    <row r="21" spans="2:7" ht="15" customHeight="1">
      <c r="B21" s="66" t="str">
        <f>HYPERLINK("http://www.qut.edu.au/","Queensland University of Technology")</f>
        <v>Queensland University of Technology</v>
      </c>
      <c r="C21" s="64" t="s">
        <v>331</v>
      </c>
      <c r="D21" s="111" t="s">
        <v>158</v>
      </c>
      <c r="E21" s="164" t="s">
        <v>28</v>
      </c>
      <c r="F21" s="138"/>
      <c r="G21" s="78"/>
    </row>
    <row r="22" spans="2:7" ht="20.25" customHeight="1">
      <c r="B22" s="66" t="str">
        <f>HYPERLINK("http://www.rmit.edu.au/","Royal Melbourne Institute of Technology")</f>
        <v>Royal Melbourne Institute of Technology</v>
      </c>
      <c r="C22" s="64" t="str">
        <f>HYPERLINK("https://www.rmit.edu.au/study-with-us/international-and-community-services/social-work","RMIT Social Work, Communites ...")</f>
        <v>RMIT Social Work, Communites ...</v>
      </c>
      <c r="D22" s="111" t="s">
        <v>159</v>
      </c>
      <c r="E22" s="164" t="s">
        <v>28</v>
      </c>
      <c r="F22" s="138"/>
      <c r="G22" s="78"/>
    </row>
    <row r="23" spans="2:7" ht="15" customHeight="1">
      <c r="B23" s="66" t="str">
        <f>HYPERLINK("http://www.unimelb.edu.au/","University of Melbourne")</f>
        <v>University of Melbourne</v>
      </c>
      <c r="C23" s="67" t="str">
        <f>HYPERLINK("http://www.socialwork.unimelb.edu.au/","Melbourne School of Health Sciences")</f>
        <v>Melbourne School of Health Sciences</v>
      </c>
      <c r="D23" s="111" t="s">
        <v>159</v>
      </c>
      <c r="E23" s="164" t="s">
        <v>16</v>
      </c>
      <c r="F23" s="138"/>
      <c r="G23" s="78"/>
    </row>
    <row r="24" spans="2:7" ht="15" customHeight="1">
      <c r="B24" s="66" t="str">
        <f>HYPERLINK("http://www.une.edu.au/","University of New England")</f>
        <v>University of New England</v>
      </c>
      <c r="C24" s="64" t="s">
        <v>332</v>
      </c>
      <c r="D24" s="111" t="s">
        <v>160</v>
      </c>
      <c r="E24" s="164" t="s">
        <v>92</v>
      </c>
      <c r="F24" s="138"/>
      <c r="G24" s="78"/>
    </row>
    <row r="25" spans="2:7" ht="15" customHeight="1">
      <c r="B25" s="66" t="str">
        <f>HYPERLINK("http://www.unsw.edu.au/","University of New South Wales")</f>
        <v>University of New South Wales</v>
      </c>
      <c r="C25" s="67" t="str">
        <f>HYPERLINK("http://ssis.arts.unsw.edu.au/areas-of-study/social-work-80.html","UNSW Social Sciences")</f>
        <v>UNSW Social Sciences</v>
      </c>
      <c r="D25" s="111" t="s">
        <v>161</v>
      </c>
      <c r="E25" s="164" t="s">
        <v>28</v>
      </c>
      <c r="F25" s="138"/>
      <c r="G25" s="78"/>
    </row>
    <row r="26" spans="2:7" ht="15" customHeight="1">
      <c r="B26" s="66" t="str">
        <f>HYPERLINK("http://www.newcastle.edu.au/","University of Newcastle")</f>
        <v>University of Newcastle</v>
      </c>
      <c r="C26" s="64" t="str">
        <f>HYPERLINK("http://www.newcastle.edu.au/school/hss/areas/social-work.html","School of Humanities and Social Science")</f>
        <v>School of Humanities and Social Science</v>
      </c>
      <c r="D26" s="111" t="s">
        <v>162</v>
      </c>
      <c r="E26" s="164" t="s">
        <v>28</v>
      </c>
      <c r="F26" s="138"/>
      <c r="G26" s="78"/>
    </row>
    <row r="27" spans="2:7" ht="15" customHeight="1">
      <c r="B27" s="66" t="str">
        <f>HYPERLINK("http://www.uq.edu.au/","University of Queensland")</f>
        <v>University of Queensland</v>
      </c>
      <c r="C27" s="67" t="str">
        <f>HYPERLINK("http://www.uq.edu.au/swahs/","U-Queensland School of Social Work")</f>
        <v>U-Queensland School of Social Work</v>
      </c>
      <c r="D27" s="111" t="s">
        <v>163</v>
      </c>
      <c r="E27" s="164" t="s">
        <v>28</v>
      </c>
      <c r="F27" s="138"/>
      <c r="G27" s="78"/>
    </row>
    <row r="28" spans="2:7" ht="26.25">
      <c r="B28" s="66" t="str">
        <f>HYPERLINK("http://www.unisa.edu.au/","University of South Australia")</f>
        <v>University of South Australia</v>
      </c>
      <c r="C28" s="67" t="str">
        <f>HYPERLINK("http://www.unisa.edu.au/psw/","U-SA School of Psycho., Social Work and Social Policy")</f>
        <v>U-SA School of Psycho., Social Work and Social Policy</v>
      </c>
      <c r="D28" s="111" t="s">
        <v>156</v>
      </c>
      <c r="E28" s="164" t="s">
        <v>28</v>
      </c>
      <c r="F28" s="138"/>
      <c r="G28" s="78"/>
    </row>
    <row r="29" spans="2:7" ht="15" customHeight="1">
      <c r="B29" s="66" t="str">
        <f>HYPERLINK("http://www.usyd.edu.au/","University of Sydney")</f>
        <v>University of Sydney</v>
      </c>
      <c r="C29" s="67" t="str">
        <f>HYPERLINK("http://sydney.edu.au/education_social_work/","U-Sydney Faculty of Education and Social Work")</f>
        <v>U-Sydney Faculty of Education and Social Work</v>
      </c>
      <c r="D29" s="111" t="s">
        <v>161</v>
      </c>
      <c r="E29" s="164" t="s">
        <v>28</v>
      </c>
      <c r="F29" s="138"/>
      <c r="G29" s="78"/>
    </row>
    <row r="30" spans="2:7" ht="15" customHeight="1">
      <c r="B30" s="66" t="str">
        <f>HYPERLINK("http://www.utas.edu.au/","University of Tasmania")</f>
        <v>University of Tasmania</v>
      </c>
      <c r="C30" s="64" t="str">
        <f>HYPERLINK("http://fcms.its.utas.edu.au/arts/sociology/courses.asp","School of Social Sciences")</f>
        <v>School of Social Sciences</v>
      </c>
      <c r="D30" s="111" t="s">
        <v>164</v>
      </c>
      <c r="E30" s="164" t="s">
        <v>28</v>
      </c>
      <c r="F30" s="138"/>
      <c r="G30" s="78"/>
    </row>
    <row r="31" spans="2:7" ht="15" customHeight="1">
      <c r="B31" s="66" t="str">
        <f>HYPERLINK("http://www.usc.edu.au/","University of the Sunshine Coast")</f>
        <v>University of the Sunshine Coast</v>
      </c>
      <c r="C31" s="64" t="s">
        <v>333</v>
      </c>
      <c r="D31" s="111" t="s">
        <v>165</v>
      </c>
      <c r="E31" s="164" t="s">
        <v>28</v>
      </c>
      <c r="F31" s="138"/>
      <c r="G31" s="78"/>
    </row>
    <row r="32" spans="2:7" ht="15" customHeight="1">
      <c r="B32" s="66" t="str">
        <f>HYPERLINK("http://www.uwa.edu.au/","University of Western Australia")</f>
        <v>University of Western Australia</v>
      </c>
      <c r="C32" s="64" t="s">
        <v>334</v>
      </c>
      <c r="D32" s="111" t="s">
        <v>323</v>
      </c>
      <c r="E32" s="164" t="s">
        <v>28</v>
      </c>
      <c r="F32" s="138"/>
      <c r="G32" s="78"/>
    </row>
    <row r="33" spans="2:7" ht="15" customHeight="1">
      <c r="B33" s="49" t="str">
        <f>HYPERLINK("http://www.uws.edu.au/","University of Western Sydney")</f>
        <v>University of Western Sydney</v>
      </c>
      <c r="C33" s="64" t="s">
        <v>336</v>
      </c>
      <c r="D33" s="111" t="s">
        <v>335</v>
      </c>
      <c r="E33" s="164" t="s">
        <v>22</v>
      </c>
      <c r="F33" s="138"/>
      <c r="G33" s="78"/>
    </row>
    <row r="34" spans="2:7" ht="15" customHeight="1">
      <c r="B34" s="49" t="str">
        <f>HYPERLINK("http://www.vu.edu.au/","Victoria University")</f>
        <v>Victoria University</v>
      </c>
      <c r="C34" s="67" t="str">
        <f>HYPERLINK("http://www.vu.edu.au/courses/bachelor-of-social-work-abuw","Victoria University Social Work")</f>
        <v>Victoria University Social Work</v>
      </c>
      <c r="D34" s="111" t="s">
        <v>159</v>
      </c>
      <c r="E34" s="164" t="s">
        <v>28</v>
      </c>
      <c r="F34" s="138"/>
      <c r="G34" s="78"/>
    </row>
    <row r="35" spans="3:6" ht="12.75">
      <c r="C35" s="112"/>
      <c r="D35" s="112"/>
      <c r="E35" s="112"/>
      <c r="F35" s="78"/>
    </row>
    <row r="36" ht="12.75">
      <c r="B36" s="105" t="s">
        <v>113</v>
      </c>
    </row>
    <row r="37" spans="2:6" ht="12.75">
      <c r="B37" s="76"/>
      <c r="C37" s="138"/>
      <c r="D37" s="138"/>
      <c r="E37" s="76"/>
      <c r="F37" s="76"/>
    </row>
    <row r="38" spans="2:6" ht="12.75">
      <c r="B38" s="167" t="s">
        <v>48</v>
      </c>
      <c r="C38" s="167" t="s">
        <v>49</v>
      </c>
      <c r="D38" s="138"/>
      <c r="F38" s="76"/>
    </row>
    <row r="39" spans="2:6" ht="15.75" customHeight="1">
      <c r="B39" s="62" t="str">
        <f>HYPERLINK("http://www.university-list.net/Australia/rank/univ-100009.html","University Ranking Australia")</f>
        <v>University Ranking Australia</v>
      </c>
      <c r="C39" s="96" t="s">
        <v>166</v>
      </c>
      <c r="D39" s="138"/>
      <c r="F39" s="76"/>
    </row>
    <row r="40" spans="2:6" ht="12.75">
      <c r="B40" s="76"/>
      <c r="C40" s="76"/>
      <c r="D40" s="76"/>
      <c r="E40" s="76"/>
      <c r="F40" s="76"/>
    </row>
    <row r="42" spans="2:13" s="74" customFormat="1" ht="17.25">
      <c r="B42" s="168" t="s">
        <v>56</v>
      </c>
      <c r="C42" s="169"/>
      <c r="D42" s="169"/>
      <c r="E42" s="169"/>
      <c r="F42" s="137"/>
      <c r="G42" s="137"/>
      <c r="H42" s="137"/>
      <c r="I42" s="137"/>
      <c r="J42" s="137"/>
      <c r="K42" s="137"/>
      <c r="L42" s="137"/>
      <c r="M42" s="137"/>
    </row>
    <row r="43" spans="3:4" ht="12.75">
      <c r="C43" s="78"/>
      <c r="D43" s="78"/>
    </row>
    <row r="44" spans="2:4" ht="12.75">
      <c r="B44" s="167" t="s">
        <v>48</v>
      </c>
      <c r="C44" s="167" t="s">
        <v>49</v>
      </c>
      <c r="D44" s="138"/>
    </row>
    <row r="45" spans="2:5" ht="26.25">
      <c r="B45" s="84" t="str">
        <f>HYPERLINK("http://www.aasw.asn.au/audience/students","Australian Association of Social Workers")</f>
        <v>Australian Association of Social Workers</v>
      </c>
      <c r="C45" s="96" t="s">
        <v>167</v>
      </c>
      <c r="D45" s="138"/>
      <c r="E45" s="78"/>
    </row>
    <row r="46" spans="2:5" ht="15.75" customHeight="1">
      <c r="B46" s="84" t="str">
        <f>HYPERLINK("http://www.horizonemployment.com.au/","Horizon Career Centre")</f>
        <v>Horizon Career Centre</v>
      </c>
      <c r="C46" s="96" t="s">
        <v>146</v>
      </c>
      <c r="D46" s="138"/>
      <c r="E46" s="78"/>
    </row>
    <row r="47" spans="3:4" ht="12.75">
      <c r="C47" s="78"/>
      <c r="D47" s="78"/>
    </row>
    <row r="49" spans="2:13" s="74" customFormat="1" ht="17.25">
      <c r="B49" s="73" t="s">
        <v>118</v>
      </c>
      <c r="C49" s="169"/>
      <c r="D49" s="169"/>
      <c r="E49" s="169"/>
      <c r="F49" s="137"/>
      <c r="G49" s="137"/>
      <c r="H49" s="137"/>
      <c r="I49" s="137"/>
      <c r="J49" s="137"/>
      <c r="K49" s="137"/>
      <c r="L49" s="137"/>
      <c r="M49" s="137"/>
    </row>
    <row r="50" spans="3:5" ht="12.75">
      <c r="C50" s="106"/>
      <c r="D50" s="106"/>
      <c r="E50" s="78"/>
    </row>
    <row r="51" spans="2:6" ht="12.75">
      <c r="B51" s="161" t="s">
        <v>48</v>
      </c>
      <c r="C51" s="161"/>
      <c r="D51" s="161" t="s">
        <v>49</v>
      </c>
      <c r="E51" s="138"/>
      <c r="F51" s="78"/>
    </row>
    <row r="52" spans="2:6" ht="26.25">
      <c r="B52" s="66" t="str">
        <f>HYPERLINK("http://www.aasw.asn.au/","Australian Association of Social Workers ")</f>
        <v>Australian Association of Social Workers </v>
      </c>
      <c r="C52" s="170" t="s">
        <v>168</v>
      </c>
      <c r="D52" s="111" t="s">
        <v>169</v>
      </c>
      <c r="E52" s="138"/>
      <c r="F52" s="78"/>
    </row>
    <row r="53" spans="2:6" ht="26.25">
      <c r="B53" s="66" t="str">
        <f>HYPERLINK("http://www.achssw.org.au/","Australian Council of Heads of Schools of Social Work")</f>
        <v>Australian Council of Heads of Schools of Social Work</v>
      </c>
      <c r="C53" s="170" t="s">
        <v>170</v>
      </c>
      <c r="D53" s="111" t="s">
        <v>171</v>
      </c>
      <c r="E53" s="138"/>
      <c r="F53" s="78"/>
    </row>
  </sheetData>
  <sheetProtection selectLockedCells="1" selectUnlockedCells="1"/>
  <autoFilter ref="B8:E34"/>
  <hyperlinks>
    <hyperlink ref="C9" r:id="rId1" display="School of Allied Health"/>
    <hyperlink ref="C12" r:id="rId2" display="School of Humanities and Social Sciences"/>
    <hyperlink ref="C13" r:id="rId3" display="School of Occupational Therapy and Social Work"/>
    <hyperlink ref="C14" r:id="rId4" display="School of Health and Social Development"/>
    <hyperlink ref="C15" r:id="rId5" display="School of Psychology and Social Science&quot;"/>
    <hyperlink ref="C16" r:id="rId6" display="School of Social and Policy Studies"/>
    <hyperlink ref="C21" r:id="rId7" display="School of Public Health and Social Work"/>
    <hyperlink ref="C24" r:id="rId8" display="School of Health"/>
    <hyperlink ref="C31" r:id="rId9" display="School of Social Sciences"/>
    <hyperlink ref="C32" r:id="rId10" display="School of Population Health"/>
    <hyperlink ref="C33" r:id="rId11" display="School of Social Sciences and Psychology"/>
    <hyperlink ref="C10" r:id="rId12" display="https://www.cqu.edu.au/courses-and-programs/study-areas/psychology,-social-work-and-community-services"/>
  </hyperlinks>
  <printOptions/>
  <pageMargins left="0.75" right="0.75" top="1.7875" bottom="1.7875" header="0.5118055555555555" footer="0.5118055555555555"/>
  <pageSetup horizontalDpi="300" verticalDpi="300" orientation="portrait" paperSize="9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" width="11.140625" style="75" customWidth="1"/>
    <col min="2" max="2" width="10.7109375" style="75" customWidth="1"/>
    <col min="3" max="3" width="54.140625" style="75" customWidth="1"/>
    <col min="4" max="4" width="37.8515625" style="75" customWidth="1"/>
    <col min="5" max="5" width="26.140625" style="75" customWidth="1"/>
    <col min="6" max="6" width="20.140625" style="75" customWidth="1"/>
    <col min="7" max="7" width="11.140625" style="75" customWidth="1"/>
    <col min="8" max="8" width="13.421875" style="75" customWidth="1"/>
    <col min="9" max="9" width="39.57421875" style="75" customWidth="1"/>
    <col min="10" max="10" width="23.140625" style="75" customWidth="1"/>
    <col min="11" max="16384" width="11.140625" style="75" customWidth="1"/>
  </cols>
  <sheetData>
    <row r="1" spans="2:15" s="70" customFormat="1" ht="21">
      <c r="B1" s="68" t="s">
        <v>172</v>
      </c>
      <c r="C1" s="69"/>
      <c r="D1" s="69"/>
      <c r="E1" s="69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s="72" customFormat="1" ht="12.75">
      <c r="B2" s="71"/>
      <c r="C2" s="71"/>
      <c r="D2" s="71"/>
      <c r="E2" s="71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="72" customFormat="1" ht="12.75"/>
    <row r="4" spans="2:15" s="74" customFormat="1" ht="17.25">
      <c r="B4" s="168" t="s">
        <v>8</v>
      </c>
      <c r="C4" s="73"/>
      <c r="D4" s="73"/>
      <c r="E4" s="73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6" ht="12.75">
      <c r="B6" s="105" t="s">
        <v>80</v>
      </c>
    </row>
    <row r="7" spans="2:6" ht="12.75">
      <c r="B7" s="78"/>
      <c r="C7" s="78"/>
      <c r="D7" s="78"/>
      <c r="E7" s="78"/>
      <c r="F7" s="78"/>
    </row>
    <row r="8" spans="2:7" ht="12.75">
      <c r="B8" s="171" t="s">
        <v>173</v>
      </c>
      <c r="C8" s="167" t="s">
        <v>11</v>
      </c>
      <c r="D8" s="167" t="s">
        <v>12</v>
      </c>
      <c r="E8" s="167" t="s">
        <v>13</v>
      </c>
      <c r="F8" s="167" t="s">
        <v>14</v>
      </c>
      <c r="G8" s="78"/>
    </row>
    <row r="9" spans="2:8" ht="15">
      <c r="B9" s="172">
        <v>1</v>
      </c>
      <c r="C9" s="84" t="str">
        <f>HYPERLINK("http://www.auckland.ac.nz/uoa/","University of Auckland")</f>
        <v>University of Auckland</v>
      </c>
      <c r="D9" s="90" t="str">
        <f>HYPERLINK("http://www.education.auckland.ac.nz/uoa/home/about/schools-departments/chsswk/social-work-home","Faculty of Education")</f>
        <v>Faculty of Education</v>
      </c>
      <c r="E9" s="85" t="s">
        <v>174</v>
      </c>
      <c r="F9" s="86" t="s">
        <v>28</v>
      </c>
      <c r="G9" s="78"/>
      <c r="H9" s="165" t="s">
        <v>17</v>
      </c>
    </row>
    <row r="10" spans="2:9" ht="15" customHeight="1">
      <c r="B10" s="172">
        <v>2</v>
      </c>
      <c r="C10" s="84" t="str">
        <f>HYPERLINK("http://www.otago.ac.nz/","University of Otago")</f>
        <v>University of Otago</v>
      </c>
      <c r="D10" s="61" t="str">
        <f>HYPERLINK("http://www.otago.ac.nz/sgsw","Sociology, Gender and Social Work")</f>
        <v>Sociology, Gender and Social Work</v>
      </c>
      <c r="E10" s="85" t="s">
        <v>176</v>
      </c>
      <c r="F10" s="86" t="s">
        <v>28</v>
      </c>
      <c r="G10" s="78"/>
      <c r="H10" s="88" t="s">
        <v>19</v>
      </c>
      <c r="I10" s="173" t="s">
        <v>20</v>
      </c>
    </row>
    <row r="11" spans="2:10" ht="15" customHeight="1">
      <c r="B11" s="172">
        <v>3</v>
      </c>
      <c r="C11" s="84" t="str">
        <f>HYPERLINK("http://www.canterbury.ac.nz/","University of Canterbury")</f>
        <v>University of Canterbury</v>
      </c>
      <c r="D11" s="61" t="s">
        <v>337</v>
      </c>
      <c r="E11" s="85" t="s">
        <v>175</v>
      </c>
      <c r="F11" s="86" t="s">
        <v>28</v>
      </c>
      <c r="G11" s="78"/>
      <c r="H11" s="161" t="s">
        <v>22</v>
      </c>
      <c r="I11" s="166" t="s">
        <v>23</v>
      </c>
      <c r="J11" s="78"/>
    </row>
    <row r="12" spans="2:11" ht="15" customHeight="1">
      <c r="B12" s="172">
        <v>4</v>
      </c>
      <c r="C12" s="62" t="str">
        <f>HYPERLINK("http://www.massey.ac.nz/","Massey University")</f>
        <v>Massey University</v>
      </c>
      <c r="D12" s="61" t="s">
        <v>339</v>
      </c>
      <c r="E12" s="85" t="s">
        <v>177</v>
      </c>
      <c r="F12" s="86" t="s">
        <v>28</v>
      </c>
      <c r="G12" s="78"/>
      <c r="H12" s="161" t="s">
        <v>25</v>
      </c>
      <c r="I12" s="166" t="s">
        <v>26</v>
      </c>
      <c r="J12" s="81"/>
      <c r="K12" s="91"/>
    </row>
    <row r="13" spans="2:11" ht="15" customHeight="1">
      <c r="B13" s="172">
        <v>5</v>
      </c>
      <c r="C13" s="84" t="str">
        <f>HYPERLINK("http://www.waikato.ac.nz/","University of Waikato")</f>
        <v>University of Waikato</v>
      </c>
      <c r="D13" s="61" t="s">
        <v>338</v>
      </c>
      <c r="E13" s="174" t="s">
        <v>178</v>
      </c>
      <c r="F13" s="93" t="s">
        <v>22</v>
      </c>
      <c r="G13" s="78"/>
      <c r="H13" s="161"/>
      <c r="I13" s="166"/>
      <c r="J13" s="81"/>
      <c r="K13" s="91"/>
    </row>
    <row r="14" spans="2:11" ht="15" customHeight="1">
      <c r="B14" s="172">
        <v>6</v>
      </c>
      <c r="C14" s="62" t="str">
        <f>HYPERLINK("http://www.lincoln.ac.uk/home/","University of Lincoln")</f>
        <v>University of Lincoln</v>
      </c>
      <c r="D14" s="61" t="str">
        <f>HYPERLINK("http://www.lincoln.ac.uk/home/shsc/","School of Health &amp; Social Care")</f>
        <v>School of Health &amp; Social Care</v>
      </c>
      <c r="E14" s="85" t="s">
        <v>272</v>
      </c>
      <c r="F14" s="86" t="s">
        <v>92</v>
      </c>
      <c r="G14" s="78"/>
      <c r="H14" s="161" t="s">
        <v>29</v>
      </c>
      <c r="I14" s="166" t="s">
        <v>30</v>
      </c>
      <c r="J14" s="91"/>
      <c r="K14" s="91"/>
    </row>
    <row r="15" spans="2:11" ht="15" customHeight="1">
      <c r="B15" s="172"/>
      <c r="C15" s="84" t="str">
        <f>HYPERLINK("http://www.unitec.ac.nz/","Unitec Institute of Technology")</f>
        <v>Unitec Institute of Technology</v>
      </c>
      <c r="D15" s="61" t="s">
        <v>340</v>
      </c>
      <c r="E15" s="85" t="s">
        <v>174</v>
      </c>
      <c r="F15" s="86" t="s">
        <v>92</v>
      </c>
      <c r="G15" s="78"/>
      <c r="H15" s="78"/>
      <c r="I15" s="81"/>
      <c r="J15" s="91"/>
      <c r="K15" s="91"/>
    </row>
    <row r="16" spans="2:11" ht="15" customHeight="1">
      <c r="B16" s="172"/>
      <c r="C16" s="84" t="str">
        <f>HYPERLINK("http://www.manukau.ac.nz/","Manukau Institute of Technology")</f>
        <v>Manukau Institute of Technology</v>
      </c>
      <c r="D16" s="61" t="str">
        <f>HYPERLINK("https://www.manukau.ac.nz/study-options/areas-of-study/social-services","Social Work")</f>
        <v>Social Work</v>
      </c>
      <c r="E16" s="85" t="s">
        <v>179</v>
      </c>
      <c r="F16" s="86" t="s">
        <v>22</v>
      </c>
      <c r="G16" s="78"/>
      <c r="H16" s="78"/>
      <c r="I16" s="81"/>
      <c r="J16" s="91"/>
      <c r="K16" s="91"/>
    </row>
    <row r="17" spans="2:10" ht="15" customHeight="1">
      <c r="B17" s="172"/>
      <c r="C17" s="62" t="s">
        <v>341</v>
      </c>
      <c r="D17" s="61" t="s">
        <v>342</v>
      </c>
      <c r="E17" s="85" t="s">
        <v>180</v>
      </c>
      <c r="F17" s="86" t="s">
        <v>22</v>
      </c>
      <c r="G17" s="78"/>
      <c r="H17" s="78"/>
      <c r="I17" s="78"/>
      <c r="J17" s="78"/>
    </row>
    <row r="18" spans="2:8" ht="15" customHeight="1">
      <c r="B18" s="172"/>
      <c r="C18" s="84" t="str">
        <f>HYPERLINK("http://www.whitireia.ac.nz/Pages/home.aspx","Whitireia")</f>
        <v>Whitireia</v>
      </c>
      <c r="D18" s="61" t="s">
        <v>343</v>
      </c>
      <c r="E18" s="85" t="s">
        <v>181</v>
      </c>
      <c r="F18" s="86" t="s">
        <v>22</v>
      </c>
      <c r="G18" s="78"/>
      <c r="H18" s="78"/>
    </row>
    <row r="19" spans="2:7" ht="15" customHeight="1">
      <c r="B19" s="172"/>
      <c r="C19" s="84" t="str">
        <f>HYPERLINK("http://www.nmit.ac.nz/","Nelson Marlborough Institute of Technology")</f>
        <v>Nelson Marlborough Institute of Technology</v>
      </c>
      <c r="D19" s="61" t="str">
        <f>HYPERLINK("https://www.nmit.ac.nz/study/filter/programmes/health-community-and-social-services/social-sciences","Health and Social Sciences")</f>
        <v>Health and Social Sciences</v>
      </c>
      <c r="E19" s="85" t="s">
        <v>344</v>
      </c>
      <c r="F19" s="86" t="s">
        <v>22</v>
      </c>
      <c r="G19" s="78"/>
    </row>
    <row r="20" spans="2:7" ht="15" customHeight="1">
      <c r="B20" s="83"/>
      <c r="C20" s="95" t="str">
        <f>HYPERLINK("http://www.eit.ac.nz/","Eastern Institute of Technology")</f>
        <v>Eastern Institute of Technology</v>
      </c>
      <c r="D20" s="99" t="str">
        <f>HYPERLINK("http://www.eit.ac.nz/areas-of-study/social-sciences/","EIT Social Sciences")</f>
        <v>EIT Social Sciences</v>
      </c>
      <c r="E20" s="92" t="s">
        <v>182</v>
      </c>
      <c r="F20" s="93" t="s">
        <v>22</v>
      </c>
      <c r="G20" s="78"/>
    </row>
    <row r="21" spans="2:6" ht="12.75">
      <c r="B21" s="78"/>
      <c r="C21" s="78"/>
      <c r="D21" s="78"/>
      <c r="E21" s="78"/>
      <c r="F21" s="78"/>
    </row>
    <row r="22" ht="12.75">
      <c r="B22" s="105" t="s">
        <v>113</v>
      </c>
    </row>
    <row r="23" spans="3:9" ht="12.75">
      <c r="C23" s="138"/>
      <c r="D23" s="138"/>
      <c r="I23" s="175"/>
    </row>
    <row r="24" spans="2:5" ht="12.75">
      <c r="B24" s="76"/>
      <c r="C24" s="141" t="s">
        <v>48</v>
      </c>
      <c r="D24" s="141" t="s">
        <v>49</v>
      </c>
      <c r="E24" s="76"/>
    </row>
    <row r="25" spans="2:4" ht="15.75" customHeight="1">
      <c r="B25" s="77"/>
      <c r="C25" s="62" t="s">
        <v>345</v>
      </c>
      <c r="D25" s="93" t="s">
        <v>166</v>
      </c>
    </row>
    <row r="27" spans="2:5" ht="12.75">
      <c r="B27" s="76"/>
      <c r="C27" s="76"/>
      <c r="D27" s="76"/>
      <c r="E27" s="76"/>
    </row>
    <row r="29" spans="2:15" s="74" customFormat="1" ht="17.25">
      <c r="B29" s="168" t="s">
        <v>183</v>
      </c>
      <c r="C29" s="169"/>
      <c r="D29" s="169"/>
      <c r="E29" s="169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3:8" ht="12.75">
      <c r="C30" s="106"/>
      <c r="D30" s="106"/>
      <c r="E30" s="76"/>
      <c r="F30" s="76"/>
      <c r="G30" s="76"/>
      <c r="H30" s="76"/>
    </row>
    <row r="31" spans="2:8" ht="12.75">
      <c r="B31" s="107"/>
      <c r="C31" s="161" t="s">
        <v>48</v>
      </c>
      <c r="D31" s="161" t="s">
        <v>49</v>
      </c>
      <c r="E31" s="176"/>
      <c r="F31" s="77"/>
      <c r="H31" s="76"/>
    </row>
    <row r="32" spans="2:8" ht="26.25">
      <c r="B32" s="107"/>
      <c r="C32" s="49" t="s">
        <v>346</v>
      </c>
      <c r="D32" s="110" t="s">
        <v>184</v>
      </c>
      <c r="E32" s="176"/>
      <c r="F32" s="91"/>
      <c r="H32" s="76"/>
    </row>
    <row r="33" spans="2:5" ht="16.5" customHeight="1">
      <c r="B33" s="107"/>
      <c r="C33" s="49" t="str">
        <f>HYPERLINK("http://nzccss.org.nz/","New Zealand Council of Christian Social Services")</f>
        <v>New Zealand Council of Christian Social Services</v>
      </c>
      <c r="D33" s="110" t="s">
        <v>288</v>
      </c>
      <c r="E33" s="176"/>
    </row>
    <row r="34" spans="2:5" ht="24.75" customHeight="1">
      <c r="B34" s="107"/>
      <c r="C34" s="49" t="s">
        <v>347</v>
      </c>
      <c r="D34" s="110" t="s">
        <v>185</v>
      </c>
      <c r="E34" s="176"/>
    </row>
    <row r="35" spans="2:5" ht="16.5" customHeight="1">
      <c r="B35" s="107"/>
      <c r="C35" s="66" t="str">
        <f>HYPERLINK("http://www.nzcoss.org.nz/","New Zealand Council of Social Services")</f>
        <v>New Zealand Council of Social Services</v>
      </c>
      <c r="D35" s="110" t="s">
        <v>186</v>
      </c>
      <c r="E35" s="176"/>
    </row>
    <row r="36" spans="2:5" ht="25.5" customHeight="1">
      <c r="B36" s="107"/>
      <c r="C36" s="66" t="str">
        <f>HYPERLINK("http://www.anzmh.asn.au/","Australian and New Zealand Mental Health Association")</f>
        <v>Australian and New Zealand Mental Health Association</v>
      </c>
      <c r="D36" s="110" t="s">
        <v>187</v>
      </c>
      <c r="E36" s="176"/>
    </row>
    <row r="37" spans="2:5" ht="16.5" customHeight="1">
      <c r="B37" s="107"/>
      <c r="C37" s="49" t="s">
        <v>348</v>
      </c>
      <c r="D37" s="110" t="s">
        <v>290</v>
      </c>
      <c r="E37" s="176"/>
    </row>
    <row r="38" spans="2:5" ht="16.5" customHeight="1">
      <c r="B38" s="78"/>
      <c r="C38" s="49" t="str">
        <f>HYPERLINK("http://www.careers.govt.nz/jobs/community-services/social-worker/","Social Worker Career")</f>
        <v>Social Worker Career</v>
      </c>
      <c r="D38" s="177" t="s">
        <v>291</v>
      </c>
      <c r="E38" s="78"/>
    </row>
    <row r="39" spans="2:5" ht="16.5" customHeight="1">
      <c r="B39" s="78"/>
      <c r="C39" s="178"/>
      <c r="D39" s="179"/>
      <c r="E39" s="78"/>
    </row>
    <row r="40" spans="2:15" s="74" customFormat="1" ht="17.25">
      <c r="B40" s="168" t="s">
        <v>118</v>
      </c>
      <c r="C40" s="116"/>
      <c r="D40" s="73"/>
      <c r="E40" s="73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3:5" ht="17.25">
      <c r="C41" s="114"/>
      <c r="D41" s="106"/>
      <c r="E41" s="106"/>
    </row>
    <row r="42" spans="2:6" ht="12.75">
      <c r="B42" s="78"/>
      <c r="C42" s="180" t="s">
        <v>48</v>
      </c>
      <c r="D42" s="181"/>
      <c r="E42" s="161" t="s">
        <v>49</v>
      </c>
      <c r="F42" s="176"/>
    </row>
    <row r="43" spans="2:6" ht="46.5" customHeight="1">
      <c r="B43" s="107"/>
      <c r="C43" s="182" t="str">
        <f>HYPERLINK("http://anzasw.org.nz/","Aotearoa New Zealand Association of Social Workers")</f>
        <v>Aotearoa New Zealand Association of Social Workers</v>
      </c>
      <c r="D43" s="170" t="s">
        <v>188</v>
      </c>
      <c r="E43" s="111" t="s">
        <v>189</v>
      </c>
      <c r="F43" s="176"/>
    </row>
  </sheetData>
  <sheetProtection selectLockedCells="1" selectUnlockedCells="1"/>
  <autoFilter ref="B8:F20">
    <sortState ref="B9:F43">
      <sortCondition sortBy="value" ref="B9:B43"/>
    </sortState>
  </autoFilter>
  <hyperlinks>
    <hyperlink ref="C14" r:id="rId1" display="University of Lincoln"/>
    <hyperlink ref="D11" r:id="rId2" display="College of Arts"/>
    <hyperlink ref="D13" r:id="rId3" display="Faculty of Arts and Social Sciences"/>
    <hyperlink ref="D12" r:id="rId4" display="School of Health and Social Services"/>
    <hyperlink ref="D15" r:id="rId5" display="Social Practice"/>
    <hyperlink ref="D16" r:id="rId6" display="https://www.manukau.ac.nz/study-options/areas-of-study/social-services"/>
    <hyperlink ref="C17" r:id="rId7" display="Waiariki Institute of Technology"/>
    <hyperlink ref="D17" r:id="rId8" display="Faculty of Health, Education &amp; Humanities"/>
    <hyperlink ref="D18" r:id="rId9" display="Faculty of Health"/>
    <hyperlink ref="C25" r:id="rId10" display="University Ranking New Zealand"/>
    <hyperlink ref="C32" r:id="rId11" display="Social Service Providers Aotearoa"/>
    <hyperlink ref="C33" r:id="rId12" display="http://nzccss.org.nz/"/>
    <hyperlink ref="C34" r:id="rId13" display="Social Development Partners"/>
    <hyperlink ref="C37" r:id="rId14" display="Code of Conduct"/>
  </hyperlinks>
  <printOptions/>
  <pageMargins left="0.75" right="0.75" top="1.7875" bottom="1.7875" header="0.5118055555555555" footer="0.5118055555555555"/>
  <pageSetup horizontalDpi="300" verticalDpi="300" orientation="portrait" paperSize="9"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" width="11.140625" style="75" customWidth="1"/>
    <col min="2" max="2" width="48.57421875" style="75" customWidth="1"/>
    <col min="3" max="3" width="33.7109375" style="75" customWidth="1"/>
    <col min="4" max="4" width="30.421875" style="75" customWidth="1"/>
    <col min="5" max="5" width="17.28125" style="75" customWidth="1"/>
    <col min="6" max="6" width="11.421875" style="75" customWidth="1"/>
    <col min="7" max="7" width="11.140625" style="75" customWidth="1"/>
    <col min="8" max="8" width="41.140625" style="75" customWidth="1"/>
    <col min="9" max="9" width="34.00390625" style="75" customWidth="1"/>
    <col min="10" max="10" width="11.140625" style="75" customWidth="1"/>
    <col min="11" max="11" width="15.7109375" style="75" customWidth="1"/>
    <col min="12" max="16384" width="11.140625" style="75" customWidth="1"/>
  </cols>
  <sheetData>
    <row r="1" spans="2:10" s="70" customFormat="1" ht="21">
      <c r="B1" s="69" t="s">
        <v>190</v>
      </c>
      <c r="C1" s="69"/>
      <c r="D1" s="69"/>
      <c r="E1" s="69"/>
      <c r="F1" s="69"/>
      <c r="G1" s="69"/>
      <c r="H1" s="69"/>
      <c r="I1" s="69"/>
      <c r="J1" s="69"/>
    </row>
    <row r="2" spans="2:10" s="72" customFormat="1" ht="17.25">
      <c r="B2" s="71"/>
      <c r="C2" s="71"/>
      <c r="D2" s="71"/>
      <c r="E2" s="71"/>
      <c r="F2" s="71"/>
      <c r="G2" s="71"/>
      <c r="H2" s="183"/>
      <c r="I2" s="183"/>
      <c r="J2" s="183"/>
    </row>
    <row r="3" s="72" customFormat="1" ht="12.75"/>
    <row r="4" spans="2:10" s="74" customFormat="1" ht="17.25">
      <c r="B4" s="73" t="s">
        <v>8</v>
      </c>
      <c r="C4" s="73"/>
      <c r="D4" s="73"/>
      <c r="E4" s="73"/>
      <c r="F4" s="73"/>
      <c r="G4" s="73"/>
      <c r="H4" s="73"/>
      <c r="I4" s="73"/>
      <c r="J4" s="73"/>
    </row>
    <row r="6" ht="12.75">
      <c r="B6" s="105" t="s">
        <v>191</v>
      </c>
    </row>
    <row r="7" spans="2:7" ht="12.75">
      <c r="B7" s="78"/>
      <c r="C7" s="78"/>
      <c r="D7" s="78"/>
      <c r="E7" s="78"/>
      <c r="F7" s="78"/>
      <c r="G7" s="78"/>
    </row>
    <row r="8" spans="2:7" ht="12.75">
      <c r="B8" s="80" t="s">
        <v>11</v>
      </c>
      <c r="C8" s="80" t="s">
        <v>12</v>
      </c>
      <c r="D8" s="80" t="s">
        <v>13</v>
      </c>
      <c r="E8" s="184" t="s">
        <v>14</v>
      </c>
      <c r="F8" s="78"/>
      <c r="G8" s="78"/>
    </row>
    <row r="9" spans="2:7" ht="15" customHeight="1">
      <c r="B9" s="95" t="str">
        <f>HYPERLINK("http://www.tiss.edu/","Tata Institute of Technology")</f>
        <v>Tata Institute of Technology</v>
      </c>
      <c r="C9" s="61" t="s">
        <v>351</v>
      </c>
      <c r="D9" s="92" t="s">
        <v>198</v>
      </c>
      <c r="E9" s="93" t="s">
        <v>28</v>
      </c>
      <c r="G9" s="119" t="s">
        <v>17</v>
      </c>
    </row>
    <row r="10" spans="2:8" ht="15" customHeight="1">
      <c r="B10" s="84" t="str">
        <f>HYPERLINK("http://www.amrita.edu/campuses/am/index.php","Amrita University")</f>
        <v>Amrita University</v>
      </c>
      <c r="C10" s="61" t="s">
        <v>349</v>
      </c>
      <c r="D10" s="85" t="s">
        <v>192</v>
      </c>
      <c r="E10" s="86" t="s">
        <v>25</v>
      </c>
      <c r="F10" s="78"/>
      <c r="G10" s="128" t="s">
        <v>193</v>
      </c>
      <c r="H10" s="128" t="s">
        <v>23</v>
      </c>
    </row>
    <row r="11" spans="2:8" ht="15" customHeight="1">
      <c r="B11" s="62" t="s">
        <v>353</v>
      </c>
      <c r="C11" s="61" t="str">
        <f>HYPERLINK("http://www.andhrauniversity.edu.in/arts/socialwork/index.html","Department of Social Work Profile")</f>
        <v>Department of Social Work Profile</v>
      </c>
      <c r="D11" s="85" t="s">
        <v>194</v>
      </c>
      <c r="E11" s="86" t="s">
        <v>16</v>
      </c>
      <c r="F11" s="78"/>
      <c r="G11" s="128" t="s">
        <v>25</v>
      </c>
      <c r="H11" s="128" t="s">
        <v>195</v>
      </c>
    </row>
    <row r="12" spans="2:13" ht="15" customHeight="1">
      <c r="B12" s="84" t="str">
        <f>HYPERLINK("http://www.b-u.ac.in/","Bharatiar University")</f>
        <v>Bharatiar University</v>
      </c>
      <c r="C12" s="61" t="str">
        <f>HYPERLINK("http://www.b-u.ac.in/Home/DeptSocialWorkAbout","Department of Social Work")</f>
        <v>Department of Social Work</v>
      </c>
      <c r="D12" s="85" t="s">
        <v>196</v>
      </c>
      <c r="E12" s="86" t="s">
        <v>16</v>
      </c>
      <c r="F12" s="78"/>
      <c r="G12" s="128" t="s">
        <v>29</v>
      </c>
      <c r="H12" s="128" t="s">
        <v>30</v>
      </c>
      <c r="J12" s="91"/>
      <c r="K12" s="91"/>
      <c r="L12" s="91"/>
      <c r="M12" s="91"/>
    </row>
    <row r="13" spans="2:13" ht="15" customHeight="1">
      <c r="B13" s="62" t="str">
        <f>HYPERLINK("http://www.christuniversity.in/","Christ University")</f>
        <v>Christ University</v>
      </c>
      <c r="C13" s="61" t="str">
        <f>HYPERLINK("http://www.christuniversity.in/humanities-and-social-sciences/social-work","Department of Social Work")</f>
        <v>Department of Social Work</v>
      </c>
      <c r="D13" s="85" t="s">
        <v>197</v>
      </c>
      <c r="E13" s="86" t="s">
        <v>16</v>
      </c>
      <c r="F13" s="78"/>
      <c r="G13" s="78"/>
      <c r="J13" s="91"/>
      <c r="K13" s="91"/>
      <c r="L13" s="91"/>
      <c r="M13" s="91"/>
    </row>
    <row r="14" spans="2:13" ht="15" customHeight="1">
      <c r="B14" s="84" t="str">
        <f>HYPERLINK("http://www.cmscbe.com/aboutus.htm","CMS College of Science &amp; Commerce")</f>
        <v>CMS College of Science &amp; Commerce</v>
      </c>
      <c r="C14" s="90" t="str">
        <f>HYPERLINK("http://www.cmscbe.com/socialworks.htm","Department of Social Work")</f>
        <v>Department of Social Work</v>
      </c>
      <c r="D14" s="85" t="s">
        <v>196</v>
      </c>
      <c r="E14" s="86" t="s">
        <v>16</v>
      </c>
      <c r="F14" s="78"/>
      <c r="G14" s="78"/>
      <c r="J14" s="91"/>
      <c r="K14" s="91"/>
      <c r="L14" s="91"/>
      <c r="M14" s="91"/>
    </row>
    <row r="15" spans="2:13" ht="15" customHeight="1">
      <c r="B15" s="62" t="str">
        <f>HYPERLINK("http://cswnn.edu.in/","College of Social Work Nirmala Niketan")</f>
        <v>College of Social Work Nirmala Niketan</v>
      </c>
      <c r="C15" s="61" t="str">
        <f>HYPERLINK("http://cswnn.edu.in/academics/academic-programmes.php","College of Social Work")</f>
        <v>College of Social Work</v>
      </c>
      <c r="D15" s="85" t="s">
        <v>198</v>
      </c>
      <c r="E15" s="86" t="s">
        <v>28</v>
      </c>
      <c r="F15" s="78"/>
      <c r="J15" s="91"/>
      <c r="K15" s="91"/>
      <c r="L15" s="91"/>
      <c r="M15" s="91"/>
    </row>
    <row r="16" spans="2:13" ht="15" customHeight="1">
      <c r="B16" s="84" t="str">
        <f>HYPERLINK("http://www.dbrau.ac.in/","Dr. B. R. Ambedkar University")</f>
        <v>Dr. B. R. Ambedkar University</v>
      </c>
      <c r="C16" s="90" t="str">
        <f>HYPERLINK("http://www.dbrau.ac.in/Department_of_Social_Work.html","Department of Social Work")</f>
        <v>Department of Social Work</v>
      </c>
      <c r="D16" s="85" t="s">
        <v>199</v>
      </c>
      <c r="E16" s="86" t="s">
        <v>16</v>
      </c>
      <c r="F16" s="78"/>
      <c r="I16" s="78"/>
      <c r="J16" s="91"/>
      <c r="K16" s="91"/>
      <c r="L16" s="91"/>
      <c r="M16" s="91"/>
    </row>
    <row r="17" spans="2:13" ht="27" customHeight="1">
      <c r="B17" s="84" t="str">
        <f>HYPERLINK("http://www.gujaratvidyapith.org/","Gujarat Vidyapith")</f>
        <v>Gujarat Vidyapith</v>
      </c>
      <c r="C17" s="90" t="str">
        <f>HYPERLINK("http://www.gujaratvidyapith.org/courses.htm","Faculty of Social Sciences, Arts and Humanities")</f>
        <v>Faculty of Social Sciences, Arts and Humanities</v>
      </c>
      <c r="D17" s="85" t="s">
        <v>200</v>
      </c>
      <c r="E17" s="86" t="s">
        <v>25</v>
      </c>
      <c r="F17" s="78"/>
      <c r="J17" s="91"/>
      <c r="K17" s="91"/>
      <c r="L17" s="91"/>
      <c r="M17" s="91"/>
    </row>
    <row r="18" spans="2:14" ht="15" customHeight="1">
      <c r="B18" s="62" t="str">
        <f>HYPERLINK("http://www.gulbargauniversity.kar.nic.in/","Gulbarga University")</f>
        <v>Gulbarga University</v>
      </c>
      <c r="C18" s="61" t="str">
        <f>HYPERLINK("http://www.gulbargauniversity.kar.nic.in/FacSocSci/DeptSocialWork.html","Department of Social Work")</f>
        <v>Department of Social Work</v>
      </c>
      <c r="D18" s="85" t="s">
        <v>201</v>
      </c>
      <c r="E18" s="86" t="s">
        <v>16</v>
      </c>
      <c r="F18" s="78"/>
      <c r="J18" s="78"/>
      <c r="K18" s="78"/>
      <c r="L18" s="91"/>
      <c r="M18" s="91"/>
      <c r="N18" s="91"/>
    </row>
    <row r="19" spans="2:14" ht="15" customHeight="1">
      <c r="B19" s="62" t="s">
        <v>354</v>
      </c>
      <c r="C19" s="61" t="s">
        <v>351</v>
      </c>
      <c r="D19" s="85" t="s">
        <v>202</v>
      </c>
      <c r="E19" s="86" t="s">
        <v>28</v>
      </c>
      <c r="F19" s="78"/>
      <c r="L19" s="91"/>
      <c r="M19" s="91"/>
      <c r="N19" s="91"/>
    </row>
    <row r="20" spans="2:14" ht="15" customHeight="1">
      <c r="B20" s="62" t="s">
        <v>355</v>
      </c>
      <c r="C20" s="61" t="s">
        <v>349</v>
      </c>
      <c r="D20" s="85" t="s">
        <v>203</v>
      </c>
      <c r="E20" s="86" t="s">
        <v>25</v>
      </c>
      <c r="F20" s="78"/>
      <c r="G20" s="78"/>
      <c r="L20" s="91"/>
      <c r="M20" s="91"/>
      <c r="N20" s="91"/>
    </row>
    <row r="21" spans="2:14" ht="15" customHeight="1">
      <c r="B21" s="62" t="str">
        <f>HYPERLINK("http://www.jmi.ac.in/","Jamia Millia Islamia University")</f>
        <v>Jamia Millia Islamia University</v>
      </c>
      <c r="C21" s="61" t="str">
        <f>HYPERLINK("http://jmi.ac.in/aboutjamia/departments/social-work/introduction","Department of Social Work")</f>
        <v>Department of Social Work</v>
      </c>
      <c r="D21" s="85" t="s">
        <v>204</v>
      </c>
      <c r="E21" s="86" t="s">
        <v>28</v>
      </c>
      <c r="F21" s="78"/>
      <c r="G21" s="78"/>
      <c r="L21" s="91"/>
      <c r="M21" s="91"/>
      <c r="N21" s="91"/>
    </row>
    <row r="22" spans="2:14" ht="15" customHeight="1">
      <c r="B22" s="62" t="str">
        <f>HYPERLINK("http://www.kuk.ac.in/","Kurukshetra University")</f>
        <v>Kurukshetra University</v>
      </c>
      <c r="C22" s="90" t="str">
        <f>HYPERLINK("http://www.kuk.ac.in/information.php?action=showContent&amp;abc=L3&amp;L01_id=OA==&amp;L01_direction=H&amp;L03_id=NDQ=&amp;L02_id=Mzc=&amp;sublevel=y","Department of Social Work")</f>
        <v>Department of Social Work</v>
      </c>
      <c r="D22" s="85" t="s">
        <v>205</v>
      </c>
      <c r="E22" s="86" t="s">
        <v>16</v>
      </c>
      <c r="F22" s="78"/>
      <c r="G22" s="78"/>
      <c r="L22" s="91"/>
      <c r="M22" s="91"/>
      <c r="N22" s="91"/>
    </row>
    <row r="23" spans="2:14" ht="15" customHeight="1">
      <c r="B23" s="84" t="str">
        <f>HYPERLINK("http://www.lissah.com/","Little Flower Institute of Social Sciences and Health")</f>
        <v>Little Flower Institute of Social Sciences and Health</v>
      </c>
      <c r="C23" s="61" t="s">
        <v>352</v>
      </c>
      <c r="D23" s="85" t="s">
        <v>206</v>
      </c>
      <c r="E23" s="86" t="s">
        <v>92</v>
      </c>
      <c r="F23" s="78"/>
      <c r="G23" s="78"/>
      <c r="L23" s="78"/>
      <c r="M23" s="78"/>
      <c r="N23" s="78"/>
    </row>
    <row r="24" spans="2:7" ht="15" customHeight="1">
      <c r="B24" s="62" t="s">
        <v>356</v>
      </c>
      <c r="C24" s="61" t="str">
        <f>HYPERLINK("http://www.mangaloreuniversity.ac.in/social-work","Department of Social Work")</f>
        <v>Department of Social Work</v>
      </c>
      <c r="D24" s="85" t="s">
        <v>207</v>
      </c>
      <c r="E24" s="86" t="s">
        <v>16</v>
      </c>
      <c r="F24" s="78"/>
      <c r="G24" s="78"/>
    </row>
    <row r="25" spans="2:7" ht="15" customHeight="1">
      <c r="B25" s="62" t="str">
        <f>HYPERLINK("http://www.milagreskallianpur.com/","Milagres College")</f>
        <v>Milagres College</v>
      </c>
      <c r="C25" s="61" t="s">
        <v>349</v>
      </c>
      <c r="D25" s="85" t="s">
        <v>208</v>
      </c>
      <c r="E25" s="86" t="s">
        <v>25</v>
      </c>
      <c r="F25" s="78"/>
      <c r="G25" s="78"/>
    </row>
    <row r="26" spans="2:7" ht="15" customHeight="1">
      <c r="B26" s="84" t="str">
        <f>HYPERLINK("http://www.nagpuruniversity.org/","Nagpur University")</f>
        <v>Nagpur University</v>
      </c>
      <c r="C26" s="90" t="str">
        <f>HYPERLINK("http://www.nagpuruniversity.org/links/Academics.htm","Faculty of Social Science")</f>
        <v>Faculty of Social Science</v>
      </c>
      <c r="D26" s="85" t="s">
        <v>209</v>
      </c>
      <c r="E26" s="86" t="s">
        <v>92</v>
      </c>
      <c r="F26" s="78"/>
      <c r="G26" s="78"/>
    </row>
    <row r="27" spans="2:7" ht="15" customHeight="1">
      <c r="B27" s="62" t="str">
        <f>HYPERLINK("http://rcss.rajagiri.edu/","Rajagiri College of Social Sciences")</f>
        <v>Rajagiri College of Social Sciences</v>
      </c>
      <c r="C27" s="61" t="str">
        <f>HYPERLINK("http://www.rcss.rajagiri.edu/course/RSS","School of Social Work")</f>
        <v>School of Social Work</v>
      </c>
      <c r="D27" s="85" t="s">
        <v>210</v>
      </c>
      <c r="E27" s="86" t="s">
        <v>28</v>
      </c>
      <c r="F27" s="78"/>
      <c r="G27" s="78"/>
    </row>
    <row r="28" spans="2:7" ht="15" customHeight="1">
      <c r="B28" s="84" t="str">
        <f>HYPERLINK("http://rvscas.ac.in/index.php","RVS College of Arts &amp; Science")</f>
        <v>RVS College of Arts &amp; Science</v>
      </c>
      <c r="C28" s="61" t="s">
        <v>349</v>
      </c>
      <c r="D28" s="85" t="s">
        <v>211</v>
      </c>
      <c r="E28" s="86" t="s">
        <v>25</v>
      </c>
      <c r="F28" s="78"/>
      <c r="G28" s="78"/>
    </row>
    <row r="29" spans="2:7" ht="15" customHeight="1">
      <c r="B29" s="62" t="str">
        <f>HYPERLINK("http://www.srksm.org/","SRKSM - Shri Ramkrishna Seva Mandal")</f>
        <v>SRKSM - Shri Ramkrishna Seva Mandal</v>
      </c>
      <c r="C29" s="90" t="str">
        <f>HYPERLINK("http://www.srksm.org/socialwork.htm","Anand Institute of Social Work")</f>
        <v>Anand Institute of Social Work</v>
      </c>
      <c r="D29" s="85" t="s">
        <v>212</v>
      </c>
      <c r="E29" s="86" t="s">
        <v>92</v>
      </c>
      <c r="F29" s="78"/>
      <c r="G29" s="78"/>
    </row>
    <row r="30" spans="2:7" ht="15" customHeight="1">
      <c r="B30" s="84" t="str">
        <f>HYPERLINK("http://www.stellamariscollege.org/","Stella Maris College")</f>
        <v>Stella Maris College</v>
      </c>
      <c r="C30" s="61" t="str">
        <f>HYPERLINK("http://www.stellamariscollege.org/department_inner.php?dept_id=94&amp;dept_name=Social%20Work","Department of Social Work")</f>
        <v>Department of Social Work</v>
      </c>
      <c r="D30" s="85" t="s">
        <v>213</v>
      </c>
      <c r="E30" s="86" t="s">
        <v>92</v>
      </c>
      <c r="F30" s="78"/>
      <c r="G30" s="78"/>
    </row>
    <row r="31" spans="2:7" ht="15" customHeight="1">
      <c r="B31" s="84" t="str">
        <f>HYPERLINK("http://www.msubaroda.ac.in/","The Maharaja Sayajirao University of Baroda")</f>
        <v>The Maharaja Sayajirao University of Baroda</v>
      </c>
      <c r="C31" s="61" t="str">
        <f>HYPERLINK("http://www.msubaroda.ac.in/faculty.php?action=home&amp;fac_id=11","Faculty of Social Work")</f>
        <v>Faculty of Social Work</v>
      </c>
      <c r="D31" s="85" t="s">
        <v>214</v>
      </c>
      <c r="E31" s="86" t="s">
        <v>28</v>
      </c>
      <c r="F31" s="78"/>
      <c r="G31" s="78"/>
    </row>
    <row r="32" spans="2:7" ht="15" customHeight="1">
      <c r="B32" s="62" t="str">
        <f>HYPERLINK("http://du.ac.in/","University of Delhi")</f>
        <v>University of Delhi</v>
      </c>
      <c r="C32" s="61" t="s">
        <v>349</v>
      </c>
      <c r="D32" s="85" t="s">
        <v>215</v>
      </c>
      <c r="E32" s="86" t="s">
        <v>16</v>
      </c>
      <c r="F32" s="78"/>
      <c r="G32" s="78"/>
    </row>
    <row r="33" spans="2:7" ht="15" customHeight="1">
      <c r="B33" s="62" t="str">
        <f>HYPERLINK("http://www.lkouniv.ac.in/","University of Lucknow")</f>
        <v>University of Lucknow</v>
      </c>
      <c r="C33" s="61" t="str">
        <f>HYPERLINK("http://lkouniv.ac.in/oldsite/dept_social_work.htm","Department of Social Work")</f>
        <v>Department of Social Work</v>
      </c>
      <c r="D33" s="85" t="s">
        <v>216</v>
      </c>
      <c r="E33" s="86" t="s">
        <v>28</v>
      </c>
      <c r="F33" s="78"/>
      <c r="G33" s="78"/>
    </row>
    <row r="34" spans="2:8" ht="15" customHeight="1">
      <c r="B34" s="84" t="str">
        <f>HYPERLINK("http://www.uni-mysore.ac.in/","University of Mysore")</f>
        <v>University of Mysore</v>
      </c>
      <c r="C34" s="90" t="str">
        <f>HYPERLINK("http://www.uni-mysore.ac.in/social-work/#A","Department of Social Work")</f>
        <v>Department of Social Work</v>
      </c>
      <c r="D34" s="85" t="s">
        <v>217</v>
      </c>
      <c r="E34" s="86" t="s">
        <v>16</v>
      </c>
      <c r="F34" s="78"/>
      <c r="G34" s="78"/>
      <c r="H34" s="78"/>
    </row>
    <row r="35" spans="2:8" ht="15" customHeight="1">
      <c r="B35" s="62" t="str">
        <f>HYPERLINK("http://www.unipune.ac.in/default.htm","University of Pune")</f>
        <v>University of Pune</v>
      </c>
      <c r="C35" s="90" t="str">
        <f>HYPERLINK("http://www.karve-institute.org/academic_progarammes.html","Karve Institute of Social Service")</f>
        <v>Karve Institute of Social Service</v>
      </c>
      <c r="D35" s="85" t="s">
        <v>218</v>
      </c>
      <c r="E35" s="86" t="s">
        <v>16</v>
      </c>
      <c r="F35" s="78"/>
      <c r="G35" s="78"/>
      <c r="H35" s="78"/>
    </row>
    <row r="36" spans="2:8" ht="15" customHeight="1">
      <c r="B36" s="62" t="str">
        <f>HYPERLINK("http://www.viswass.org/","VISWASS Group of Institutes")</f>
        <v>VISWASS Group of Institutes</v>
      </c>
      <c r="C36" s="61" t="s">
        <v>349</v>
      </c>
      <c r="D36" s="85" t="s">
        <v>357</v>
      </c>
      <c r="E36" s="86" t="s">
        <v>92</v>
      </c>
      <c r="F36" s="78"/>
      <c r="G36" s="78"/>
      <c r="H36" s="78"/>
    </row>
    <row r="37" spans="2:8" ht="12.75">
      <c r="B37" s="78"/>
      <c r="C37" s="78"/>
      <c r="D37" s="78"/>
      <c r="E37" s="78"/>
      <c r="F37" s="78"/>
      <c r="G37" s="78"/>
      <c r="H37" s="78"/>
    </row>
    <row r="38" spans="2:8" ht="15">
      <c r="B38" s="185" t="s">
        <v>113</v>
      </c>
      <c r="C38" s="186"/>
      <c r="D38" s="186"/>
      <c r="E38" s="186"/>
      <c r="F38" s="78"/>
      <c r="G38" s="78"/>
      <c r="H38" s="78"/>
    </row>
    <row r="39" spans="2:10" ht="15">
      <c r="B39" s="78"/>
      <c r="C39" s="78"/>
      <c r="D39" s="78"/>
      <c r="E39" s="78"/>
      <c r="F39" s="186"/>
      <c r="G39" s="186"/>
      <c r="H39" s="187"/>
      <c r="I39" s="187"/>
      <c r="J39" s="187"/>
    </row>
    <row r="40" spans="2:7" ht="12.75">
      <c r="B40" s="80" t="s">
        <v>48</v>
      </c>
      <c r="C40" s="80" t="s">
        <v>49</v>
      </c>
      <c r="D40" s="81"/>
      <c r="E40" s="188"/>
      <c r="F40" s="78"/>
      <c r="G40" s="78"/>
    </row>
    <row r="41" spans="2:7" ht="15.75" customHeight="1">
      <c r="B41" s="84" t="str">
        <f>HYPERLINK("http://www.outlookindia.com/article.aspx?250248","Rankings")</f>
        <v>Rankings</v>
      </c>
      <c r="C41" s="96" t="s">
        <v>268</v>
      </c>
      <c r="D41" s="78"/>
      <c r="E41" s="188"/>
      <c r="F41" s="78"/>
      <c r="G41" s="78"/>
    </row>
    <row r="42" spans="2:7" ht="15.75" customHeight="1">
      <c r="B42" s="62" t="str">
        <f>HYPERLINK("http://career.webindia123.com/career/institutes/list_colleges_Institutes.asp?group=147&amp;cat=Bachelor_of_Social_Work_Colleges","Bachelorstudiengänge Social Work")</f>
        <v>Bachelorstudiengänge Social Work</v>
      </c>
      <c r="C42" s="96" t="s">
        <v>269</v>
      </c>
      <c r="E42" s="188"/>
      <c r="F42" s="78"/>
      <c r="G42" s="78"/>
    </row>
    <row r="43" spans="2:7" ht="15.75" customHeight="1">
      <c r="B43" s="62" t="str">
        <f>HYPERLINK("http://career.webindia123.com/career/institutes/list_colleges_Institutes.asp?group=148&amp;cat=Master_of_Social_Work_Colleges","Masterstudiengänge Social Work")</f>
        <v>Masterstudiengänge Social Work</v>
      </c>
      <c r="C43" s="96" t="s">
        <v>270</v>
      </c>
      <c r="E43" s="188"/>
      <c r="F43" s="78"/>
      <c r="G43" s="78"/>
    </row>
    <row r="44" spans="2:5" ht="15.75" customHeight="1">
      <c r="B44" s="62" t="str">
        <f>HYPERLINK("http://career.webindia123.com/career/institutes/list_colleges_Institutes.asp?group=261&amp;cat=Ph_D_Social_Work_Colleges","Doctor of Philosophy in Social Work")</f>
        <v>Doctor of Philosophy in Social Work</v>
      </c>
      <c r="C44" s="96" t="s">
        <v>271</v>
      </c>
      <c r="E44" s="188"/>
    </row>
    <row r="45" spans="2:8" ht="12.75">
      <c r="B45" s="78"/>
      <c r="C45" s="78"/>
      <c r="D45" s="91"/>
      <c r="E45" s="188"/>
      <c r="H45" s="78"/>
    </row>
    <row r="46" spans="4:8" ht="12.75">
      <c r="D46" s="78"/>
      <c r="E46" s="78"/>
      <c r="F46" s="78"/>
      <c r="G46" s="78"/>
      <c r="H46" s="78"/>
    </row>
    <row r="47" spans="2:8" s="74" customFormat="1" ht="17.25">
      <c r="B47" s="168" t="s">
        <v>183</v>
      </c>
      <c r="C47" s="73"/>
      <c r="D47" s="73"/>
      <c r="E47" s="73"/>
      <c r="F47" s="189"/>
      <c r="G47" s="189"/>
      <c r="H47" s="189"/>
    </row>
    <row r="48" spans="2:10" ht="15">
      <c r="B48" s="78"/>
      <c r="C48" s="78"/>
      <c r="D48" s="78"/>
      <c r="E48" s="78"/>
      <c r="F48" s="190"/>
      <c r="G48" s="190"/>
      <c r="H48" s="187"/>
      <c r="I48" s="187"/>
      <c r="J48" s="187"/>
    </row>
    <row r="49" spans="2:7" ht="12.75">
      <c r="B49" s="80" t="s">
        <v>48</v>
      </c>
      <c r="C49" s="80"/>
      <c r="D49" s="80" t="s">
        <v>49</v>
      </c>
      <c r="E49" s="81"/>
      <c r="F49" s="78"/>
      <c r="G49" s="78"/>
    </row>
    <row r="50" spans="2:7" ht="26.25">
      <c r="B50" s="84" t="str">
        <f>HYPERLINK("http://www.niswass.org/","National Institute of Social Work and Social Sciences")</f>
        <v>National Institute of Social Work and Social Sciences</v>
      </c>
      <c r="C50" s="191" t="s">
        <v>219</v>
      </c>
      <c r="D50" s="85" t="s">
        <v>220</v>
      </c>
      <c r="E50" s="91"/>
      <c r="F50" s="188"/>
      <c r="G50" s="188"/>
    </row>
    <row r="51" spans="2:7" ht="26.25">
      <c r="B51" s="84" t="str">
        <f>HYPERLINK("http://www.indicareer.com/Social-Work/India-Career-Social-Work.html","Universitäten")</f>
        <v>Universitäten</v>
      </c>
      <c r="C51" s="93"/>
      <c r="D51" s="85" t="s">
        <v>221</v>
      </c>
      <c r="F51" s="188"/>
      <c r="G51" s="188"/>
    </row>
    <row r="52" spans="2:8" ht="15.75" customHeight="1">
      <c r="B52" s="62" t="str">
        <f>HYPERLINK("http://tiss.edu/view/6/research/the-indian-journal-of-social-work/","Indian Journal of Social Work")</f>
        <v>Indian Journal of Social Work</v>
      </c>
      <c r="C52" s="93"/>
      <c r="D52" s="85" t="s">
        <v>222</v>
      </c>
      <c r="F52" s="188"/>
      <c r="G52" s="188"/>
      <c r="H52" s="78"/>
    </row>
    <row r="53" spans="2:8" ht="15.75" customHeight="1">
      <c r="B53" s="84" t="str">
        <f>HYPERLINK("http://www.devnetjobsindia.org/","DevNet")</f>
        <v>DevNet</v>
      </c>
      <c r="C53" s="96"/>
      <c r="D53" s="85" t="s">
        <v>223</v>
      </c>
      <c r="E53" s="91"/>
      <c r="F53" s="188"/>
      <c r="G53" s="188"/>
      <c r="H53" s="78"/>
    </row>
    <row r="54" spans="2:8" ht="12.75">
      <c r="B54" s="78"/>
      <c r="C54" s="78"/>
      <c r="D54" s="78"/>
      <c r="E54" s="78"/>
      <c r="F54" s="188"/>
      <c r="G54" s="188"/>
      <c r="H54" s="78"/>
    </row>
    <row r="55" spans="2:8" s="74" customFormat="1" ht="17.25">
      <c r="B55" s="73" t="s">
        <v>118</v>
      </c>
      <c r="C55" s="73"/>
      <c r="D55" s="73"/>
      <c r="E55" s="73"/>
      <c r="F55" s="189"/>
      <c r="G55" s="189"/>
      <c r="H55" s="189"/>
    </row>
    <row r="56" spans="2:10" ht="15">
      <c r="B56" s="78"/>
      <c r="C56" s="78"/>
      <c r="D56" s="78"/>
      <c r="E56" s="78"/>
      <c r="F56" s="190"/>
      <c r="G56" s="190"/>
      <c r="H56" s="187"/>
      <c r="I56" s="187"/>
      <c r="J56" s="187"/>
    </row>
    <row r="57" spans="2:7" ht="18" customHeight="1">
      <c r="B57" s="80" t="s">
        <v>48</v>
      </c>
      <c r="C57" s="80"/>
      <c r="D57" s="80" t="s">
        <v>49</v>
      </c>
      <c r="E57" s="81"/>
      <c r="F57" s="78"/>
      <c r="G57" s="78"/>
    </row>
    <row r="58" spans="2:7" ht="26.25">
      <c r="B58" s="62" t="str">
        <f>HYPERLINK("http://www.napswi.org/","National Association of Professional Social Workers in India")</f>
        <v>National Association of Professional Social Workers in India</v>
      </c>
      <c r="C58" s="191" t="s">
        <v>224</v>
      </c>
      <c r="D58" s="85" t="s">
        <v>225</v>
      </c>
      <c r="E58" s="91"/>
      <c r="F58" s="188"/>
      <c r="G58" s="188"/>
    </row>
    <row r="59" spans="2:7" ht="26.25">
      <c r="B59" s="84" t="str">
        <f>HYPERLINK("http://pswa.webnode.com/","Professional Social Workers Assiciation")</f>
        <v>Professional Social Workers Assiciation</v>
      </c>
      <c r="C59" s="191" t="s">
        <v>226</v>
      </c>
      <c r="D59" s="85" t="s">
        <v>227</v>
      </c>
      <c r="E59" s="78"/>
      <c r="F59" s="188"/>
      <c r="G59" s="188"/>
    </row>
  </sheetData>
  <sheetProtection selectLockedCells="1" selectUnlockedCells="1"/>
  <autoFilter ref="B8:E37"/>
  <hyperlinks>
    <hyperlink ref="C9" r:id="rId1" display="School of Social Work"/>
    <hyperlink ref="C10" r:id="rId2" display="Department of Social Work"/>
    <hyperlink ref="B11" r:id="rId3" display="Andrha University"/>
    <hyperlink ref="B19" r:id="rId4" display="Indore School of Social Work"/>
    <hyperlink ref="C19" r:id="rId5" display="School of Social Work"/>
    <hyperlink ref="B20" r:id="rId6" display="Jai Bharath College"/>
    <hyperlink ref="C20" r:id="rId7" display="Department of Social Work"/>
    <hyperlink ref="B24" r:id="rId8" display="Mangalore University"/>
    <hyperlink ref="C24" r:id="rId9" display="http://www.mangaloreuniversity.ac.in/social-work"/>
    <hyperlink ref="C25" r:id="rId10" display="Department of Social Work"/>
    <hyperlink ref="C28" r:id="rId11" display="Department of Social Work"/>
    <hyperlink ref="C32" r:id="rId12" display="Department of Social Work"/>
    <hyperlink ref="C36" r:id="rId13" display="Department of Social Work"/>
    <hyperlink ref="B58" r:id="rId14" display="http://www.napswi.org/"/>
    <hyperlink ref="C23" r:id="rId15" display="Social Work"/>
  </hyperlinks>
  <printOptions/>
  <pageMargins left="0.75" right="0.75" top="1.7875" bottom="1.7875" header="0.5118055555555555" footer="0.5118055555555555"/>
  <pageSetup horizontalDpi="300" verticalDpi="300" orientation="portrait" paperSize="9" r:id="rId16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A10" sqref="A10"/>
    </sheetView>
  </sheetViews>
  <sheetFormatPr defaultColWidth="11.140625" defaultRowHeight="12.75"/>
  <cols>
    <col min="1" max="1" width="11.140625" style="75" customWidth="1"/>
    <col min="2" max="2" width="55.140625" style="75" customWidth="1"/>
    <col min="3" max="3" width="47.140625" style="75" customWidth="1"/>
    <col min="4" max="4" width="33.28125" style="75" customWidth="1"/>
    <col min="5" max="5" width="24.28125" style="75" customWidth="1"/>
    <col min="6" max="6" width="16.140625" style="75" customWidth="1"/>
    <col min="7" max="7" width="11.140625" style="75" customWidth="1"/>
    <col min="8" max="8" width="36.421875" style="75" customWidth="1"/>
    <col min="9" max="9" width="43.140625" style="75" customWidth="1"/>
    <col min="10" max="10" width="32.57421875" style="75" customWidth="1"/>
    <col min="11" max="16384" width="11.140625" style="75" customWidth="1"/>
  </cols>
  <sheetData>
    <row r="1" spans="2:9" s="70" customFormat="1" ht="21">
      <c r="B1" s="69" t="s">
        <v>228</v>
      </c>
      <c r="C1" s="69"/>
      <c r="D1" s="69"/>
      <c r="E1" s="69"/>
      <c r="F1" s="69"/>
      <c r="G1" s="192"/>
      <c r="H1" s="192"/>
      <c r="I1" s="192"/>
    </row>
    <row r="2" spans="2:9" s="72" customFormat="1" ht="12.75">
      <c r="B2" s="193"/>
      <c r="C2" s="193"/>
      <c r="D2" s="193"/>
      <c r="E2" s="193"/>
      <c r="F2" s="193"/>
      <c r="G2" s="193"/>
      <c r="H2" s="193"/>
      <c r="I2" s="193"/>
    </row>
    <row r="3" s="72" customFormat="1" ht="12.75"/>
    <row r="4" spans="2:9" s="74" customFormat="1" ht="17.25">
      <c r="B4" s="73" t="s">
        <v>8</v>
      </c>
      <c r="C4" s="169"/>
      <c r="D4" s="169"/>
      <c r="E4" s="169"/>
      <c r="F4" s="169"/>
      <c r="G4" s="169"/>
      <c r="H4" s="169"/>
      <c r="I4" s="169"/>
    </row>
    <row r="6" ht="12.75">
      <c r="B6" s="77" t="s">
        <v>229</v>
      </c>
    </row>
    <row r="7" spans="2:6" ht="12.75">
      <c r="B7" s="106"/>
      <c r="C7" s="106"/>
      <c r="D7" s="106"/>
      <c r="E7" s="106"/>
      <c r="F7" s="78"/>
    </row>
    <row r="8" spans="2:6" ht="12.75">
      <c r="B8" s="108" t="s">
        <v>11</v>
      </c>
      <c r="C8" s="108" t="s">
        <v>12</v>
      </c>
      <c r="D8" s="108" t="s">
        <v>13</v>
      </c>
      <c r="E8" s="108" t="s">
        <v>14</v>
      </c>
      <c r="F8" s="78"/>
    </row>
    <row r="9" spans="2:7" ht="15.75" customHeight="1">
      <c r="B9" s="49" t="str">
        <f>HYPERLINK("http://www.nwu.ac.za/nwu/index.html","North-West University")</f>
        <v>North-West University</v>
      </c>
      <c r="C9" s="67" t="str">
        <f>HYPERLINK("http://www.uniwest.ac.za/faculties/hss/index.html","Faculty of Human &amp; Social Sciences")</f>
        <v>Faculty of Human &amp; Social Sciences</v>
      </c>
      <c r="D9" s="111" t="s">
        <v>230</v>
      </c>
      <c r="E9" s="164" t="s">
        <v>28</v>
      </c>
      <c r="G9" s="119" t="s">
        <v>17</v>
      </c>
    </row>
    <row r="10" spans="2:8" ht="15.75" customHeight="1">
      <c r="B10" s="66" t="str">
        <f>HYPERLINK("http://www.uwc.ac.za/","The University of the Western Cape")</f>
        <v>The University of the Western Cape</v>
      </c>
      <c r="C10" s="64" t="s">
        <v>349</v>
      </c>
      <c r="D10" s="111" t="s">
        <v>231</v>
      </c>
      <c r="E10" s="164" t="s">
        <v>28</v>
      </c>
      <c r="F10" s="176"/>
      <c r="G10" s="88" t="s">
        <v>19</v>
      </c>
      <c r="H10" s="88" t="s">
        <v>20</v>
      </c>
    </row>
    <row r="11" spans="2:8" ht="15.75" customHeight="1">
      <c r="B11" s="66" t="str">
        <f>HYPERLINK("http://www.uct.ac.za/","University of Cape Town")</f>
        <v>University of Cape Town</v>
      </c>
      <c r="C11" s="64" t="s">
        <v>350</v>
      </c>
      <c r="D11" s="111" t="s">
        <v>232</v>
      </c>
      <c r="E11" s="164" t="s">
        <v>92</v>
      </c>
      <c r="F11" s="176"/>
      <c r="G11" s="89" t="s">
        <v>87</v>
      </c>
      <c r="H11" s="89" t="s">
        <v>23</v>
      </c>
    </row>
    <row r="12" spans="2:8" ht="15.75" customHeight="1">
      <c r="B12" s="65" t="str">
        <f>HYPERLINK("http://www.ufh.ac.za/","University of Fort Hare")</f>
        <v>University of Fort Hare</v>
      </c>
      <c r="C12" s="64" t="str">
        <f>HYPERLINK("http://www.ufh.ac.za/faculties/social-sciences/departments/social-work-&amp;-social-development","Department of Social Work &amp; Social Develpoment")</f>
        <v>Department of Social Work &amp; Social Develpoment</v>
      </c>
      <c r="D12" s="111" t="s">
        <v>233</v>
      </c>
      <c r="E12" s="164" t="s">
        <v>28</v>
      </c>
      <c r="F12" s="176"/>
      <c r="G12" s="89" t="s">
        <v>88</v>
      </c>
      <c r="H12" s="89" t="s">
        <v>26</v>
      </c>
    </row>
    <row r="13" spans="2:10" ht="15.75" customHeight="1">
      <c r="B13" s="62" t="str">
        <f>HYPERLINK("http://www.uj.ac.za/EN/Pages/Home.aspx","University of Johannesburg")</f>
        <v>University of Johannesburg</v>
      </c>
      <c r="C13" s="194" t="str">
        <f>HYPERLINK("http://www.uj.ac.za/EN/Faculties/humanities/departments/socialwork/Pages/default.aspx","Department of Social Work")</f>
        <v>Department of Social Work</v>
      </c>
      <c r="D13" s="111" t="s">
        <v>234</v>
      </c>
      <c r="E13" s="164" t="s">
        <v>28</v>
      </c>
      <c r="F13" s="176"/>
      <c r="G13" s="89" t="s">
        <v>29</v>
      </c>
      <c r="H13" s="89" t="s">
        <v>30</v>
      </c>
      <c r="J13" s="91"/>
    </row>
    <row r="14" spans="2:10" ht="15.75" customHeight="1">
      <c r="B14" s="195" t="str">
        <f>HYPERLINK("http://www.ukzn.ac.za/","University of KwaZulu-Natal")</f>
        <v>University of KwaZulu-Natal</v>
      </c>
      <c r="C14" s="64" t="str">
        <f>HYPERLINK("http://swcd.ukzn.ac.za/Homepage.aspx","School of Social Work and Community Development")</f>
        <v>School of Social Work and Community Development</v>
      </c>
      <c r="D14" s="111" t="s">
        <v>235</v>
      </c>
      <c r="E14" s="164" t="s">
        <v>92</v>
      </c>
      <c r="F14" s="176"/>
      <c r="I14" s="78"/>
      <c r="J14" s="91"/>
    </row>
    <row r="15" spans="2:10" ht="15.75" customHeight="1">
      <c r="B15" s="66" t="str">
        <f>HYPERLINK("http://www.ul.ac.za/","University of Limpopo")</f>
        <v>University of Limpopo</v>
      </c>
      <c r="C15" s="67" t="str">
        <f>HYPERLINK("http://www.ul.ac.za/index.php?Entity=School%20Main%20Menu&amp;school_id=4","Department of Social Work")</f>
        <v>Department of Social Work</v>
      </c>
      <c r="D15" s="111" t="s">
        <v>236</v>
      </c>
      <c r="E15" s="164" t="s">
        <v>22</v>
      </c>
      <c r="F15" s="176"/>
      <c r="H15" s="91"/>
      <c r="J15" s="91"/>
    </row>
    <row r="16" spans="2:10" ht="15.75" customHeight="1">
      <c r="B16" s="49" t="str">
        <f>HYPERLINK("http://www.up.ac.za/","University of Pretoria")</f>
        <v>University of Pretoria</v>
      </c>
      <c r="C16" s="64" t="str">
        <f>HYPERLINK("http://www.up.ac.za/social-work-criminology","Department of Social Work &amp; Criminology")</f>
        <v>Department of Social Work &amp; Criminology</v>
      </c>
      <c r="D16" s="111" t="s">
        <v>237</v>
      </c>
      <c r="E16" s="164" t="s">
        <v>28</v>
      </c>
      <c r="F16" s="176"/>
      <c r="G16" s="78"/>
      <c r="H16" s="81"/>
      <c r="I16" s="91"/>
      <c r="J16" s="91"/>
    </row>
    <row r="17" spans="2:10" ht="15.75" customHeight="1">
      <c r="B17" s="49" t="str">
        <f>HYPERLINK("http://www.sun.ac.za/index.asp","Stellenbosch University")</f>
        <v>Stellenbosch University</v>
      </c>
      <c r="C17" s="64" t="str">
        <f>HYPERLINK("http://www.sun.ac.za/english/faculty/arts","Department of Social Work")</f>
        <v>Department of Social Work</v>
      </c>
      <c r="D17" s="111" t="s">
        <v>238</v>
      </c>
      <c r="E17" s="164" t="s">
        <v>28</v>
      </c>
      <c r="F17" s="176"/>
      <c r="G17" s="78"/>
      <c r="H17" s="91"/>
      <c r="I17" s="91"/>
      <c r="J17" s="91"/>
    </row>
    <row r="18" spans="2:6" ht="15.75" customHeight="1">
      <c r="B18" s="49" t="s">
        <v>360</v>
      </c>
      <c r="C18" s="196" t="str">
        <f>HYPERLINK("http://www.ufs.ac.za/humanities/departments-and-divisions/social-work-home","Department of Social Work")</f>
        <v>Department of Social Work</v>
      </c>
      <c r="D18" s="111" t="s">
        <v>239</v>
      </c>
      <c r="E18" s="164" t="s">
        <v>240</v>
      </c>
      <c r="F18" s="176"/>
    </row>
    <row r="19" spans="2:6" ht="15.75" customHeight="1">
      <c r="B19" s="197" t="str">
        <f>HYPERLINK("http://www.wits.ac.za/","University of the Witwatersrand")</f>
        <v>University of the Witwatersrand</v>
      </c>
      <c r="C19" s="198" t="str">
        <f>HYPERLINK("https://www.wits.ac.za/shcd/social-work/","School of Social Work")</f>
        <v>School of Social Work</v>
      </c>
      <c r="D19" s="111" t="s">
        <v>241</v>
      </c>
      <c r="E19" s="164" t="s">
        <v>242</v>
      </c>
      <c r="F19" s="176"/>
    </row>
    <row r="20" spans="2:6" ht="15.75" customHeight="1">
      <c r="B20" s="66" t="str">
        <f>HYPERLINK("http://www.univen.ac.za/","University of Venda")</f>
        <v>University of Venda</v>
      </c>
      <c r="C20" s="64" t="str">
        <f>HYPERLINK("http://www.univen.ac.za/index.php?Entity=Social%20Work&amp;Sch=5","Department of Social Work")</f>
        <v>Department of Social Work</v>
      </c>
      <c r="D20" s="111" t="s">
        <v>243</v>
      </c>
      <c r="E20" s="164" t="s">
        <v>22</v>
      </c>
      <c r="F20" s="176"/>
    </row>
    <row r="21" spans="2:6" ht="15.75" customHeight="1">
      <c r="B21" s="66" t="str">
        <f>HYPERLINK("http://www.uzulu.ac.za/","University of Zululand")</f>
        <v>University of Zululand</v>
      </c>
      <c r="C21" s="64" t="str">
        <f>HYPERLINK("http://oldsite.unizulu.ac.za/arts_soc_wrk.php","Department of Social Work")</f>
        <v>Department of Social Work</v>
      </c>
      <c r="D21" s="111" t="s">
        <v>244</v>
      </c>
      <c r="E21" s="164" t="s">
        <v>28</v>
      </c>
      <c r="F21" s="176"/>
    </row>
    <row r="22" spans="2:7" ht="12.75">
      <c r="B22" s="112"/>
      <c r="C22" s="112"/>
      <c r="D22" s="112"/>
      <c r="E22" s="112"/>
      <c r="F22" s="78"/>
      <c r="G22" s="78"/>
    </row>
    <row r="23" ht="12.75">
      <c r="B23" s="77" t="s">
        <v>113</v>
      </c>
    </row>
    <row r="24" spans="2:6" ht="12.75">
      <c r="B24" s="78"/>
      <c r="C24" s="78"/>
      <c r="D24" s="78"/>
      <c r="E24" s="78"/>
      <c r="F24" s="78"/>
    </row>
    <row r="25" spans="2:6" ht="12.75">
      <c r="B25" s="80" t="s">
        <v>48</v>
      </c>
      <c r="C25" s="80" t="s">
        <v>49</v>
      </c>
      <c r="E25" s="81"/>
      <c r="F25" s="91"/>
    </row>
    <row r="26" spans="2:7" ht="18.75" customHeight="1">
      <c r="B26" s="85" t="str">
        <f>HYPERLINK("http://www.dsd.gov.za/index.php?option=com_docman&amp;task=cat_view&amp;Itemid=39&amp;gid=65&amp;orderby=dmdate_published%20%20%20%20%20%20%20%20","Schools of Social Work in Südafrika")</f>
        <v>Schools of Social Work in Südafrika</v>
      </c>
      <c r="C26" s="96" t="s">
        <v>245</v>
      </c>
      <c r="E26" s="188"/>
      <c r="F26" s="91"/>
      <c r="G26" s="78"/>
    </row>
    <row r="27" spans="2:7" ht="12.75">
      <c r="B27" s="78"/>
      <c r="C27" s="78"/>
      <c r="D27" s="78"/>
      <c r="E27" s="78"/>
      <c r="F27" s="78"/>
      <c r="G27" s="78"/>
    </row>
    <row r="28" ht="12.75">
      <c r="G28" s="78"/>
    </row>
    <row r="29" spans="2:9" s="74" customFormat="1" ht="17.25">
      <c r="B29" s="207" t="s">
        <v>183</v>
      </c>
      <c r="C29" s="207"/>
      <c r="D29" s="169"/>
      <c r="E29" s="169"/>
      <c r="F29" s="169"/>
      <c r="G29" s="169"/>
      <c r="H29" s="169"/>
      <c r="I29" s="169"/>
    </row>
    <row r="30" spans="2:6" ht="12.75">
      <c r="B30" s="78"/>
      <c r="C30" s="78"/>
      <c r="D30" s="78"/>
      <c r="E30" s="78"/>
      <c r="F30" s="78"/>
    </row>
    <row r="31" spans="2:6" ht="17.25" customHeight="1">
      <c r="B31" s="80" t="s">
        <v>48</v>
      </c>
      <c r="C31" s="80"/>
      <c r="D31" s="80" t="s">
        <v>49</v>
      </c>
      <c r="E31" s="81"/>
      <c r="F31" s="91"/>
    </row>
    <row r="32" spans="2:8" ht="15.75" customHeight="1">
      <c r="B32" s="85" t="str">
        <f>HYPERLINK("http://www.ieasa.studysa.org/","International Education Association of South Africa")</f>
        <v>International Education Association of South Africa</v>
      </c>
      <c r="C32" s="191" t="s">
        <v>246</v>
      </c>
      <c r="D32" s="85" t="s">
        <v>247</v>
      </c>
      <c r="E32" s="91"/>
      <c r="F32" s="91"/>
      <c r="H32" s="175"/>
    </row>
    <row r="33" spans="2:7" ht="15.75" customHeight="1">
      <c r="B33" s="85" t="str">
        <f>HYPERLINK("http://www.southafrica.info/about/education/education.htm","Education in South Africa")</f>
        <v>Education in South Africa</v>
      </c>
      <c r="C33" s="199"/>
      <c r="D33" s="85" t="s">
        <v>247</v>
      </c>
      <c r="F33" s="91"/>
      <c r="G33" s="78"/>
    </row>
    <row r="34" spans="2:7" ht="12.75">
      <c r="B34" s="78"/>
      <c r="C34" s="78"/>
      <c r="D34" s="78"/>
      <c r="E34" s="78"/>
      <c r="F34" s="78"/>
      <c r="G34" s="78"/>
    </row>
    <row r="35" spans="2:9" s="74" customFormat="1" ht="17.25">
      <c r="B35" s="73" t="s">
        <v>118</v>
      </c>
      <c r="C35" s="73"/>
      <c r="D35" s="73"/>
      <c r="E35" s="73"/>
      <c r="F35" s="73"/>
      <c r="G35" s="169"/>
      <c r="H35" s="169"/>
      <c r="I35" s="169"/>
    </row>
    <row r="36" spans="2:6" ht="12.75">
      <c r="B36" s="78"/>
      <c r="C36" s="78"/>
      <c r="D36" s="78"/>
      <c r="E36" s="78"/>
      <c r="F36" s="78"/>
    </row>
    <row r="37" spans="2:6" ht="12.75">
      <c r="B37" s="80" t="s">
        <v>48</v>
      </c>
      <c r="C37" s="80"/>
      <c r="D37" s="80" t="s">
        <v>49</v>
      </c>
      <c r="E37" s="81"/>
      <c r="F37" s="91"/>
    </row>
    <row r="38" spans="2:8" ht="15.75" customHeight="1">
      <c r="B38" s="85" t="str">
        <f>HYPERLINK("http://www.saaswipp.co.za/","South African Association of Social Workers in Private Practice")</f>
        <v>South African Association of Social Workers in Private Practice</v>
      </c>
      <c r="C38" s="191" t="s">
        <v>267</v>
      </c>
      <c r="D38" s="85" t="s">
        <v>289</v>
      </c>
      <c r="E38" s="91"/>
      <c r="F38" s="91"/>
      <c r="H38" s="175"/>
    </row>
    <row r="39" spans="2:7" ht="27.75" customHeight="1">
      <c r="B39" s="62" t="str">
        <f>HYPERLINK("http://www.asaswei.org.za/","Association of South African Social Work Eduaction Institutions")</f>
        <v>Association of South African Social Work Eduaction Institutions</v>
      </c>
      <c r="C39" s="191" t="s">
        <v>248</v>
      </c>
      <c r="D39" s="85" t="s">
        <v>249</v>
      </c>
      <c r="F39" s="91"/>
      <c r="G39" s="78"/>
    </row>
    <row r="40" spans="2:7" ht="15.75" customHeight="1">
      <c r="B40" s="85" t="str">
        <f>HYPERLINK("http://www.sacssp.co.za/","South African Council for Social Service Professions")</f>
        <v>South African Council for Social Service Professions</v>
      </c>
      <c r="C40" s="191" t="s">
        <v>250</v>
      </c>
      <c r="D40" s="85" t="s">
        <v>251</v>
      </c>
      <c r="F40" s="91"/>
      <c r="G40" s="78"/>
    </row>
    <row r="41" spans="2:7" ht="26.25">
      <c r="B41" s="62" t="str">
        <f>HYPERLINK("http://www.naswsa.co.za/","National Association of Social Workers - South Africa")</f>
        <v>National Association of Social Workers - South Africa</v>
      </c>
      <c r="C41" s="191" t="s">
        <v>275</v>
      </c>
      <c r="D41" s="85" t="s">
        <v>276</v>
      </c>
      <c r="F41" s="91"/>
      <c r="G41" s="78"/>
    </row>
    <row r="42" spans="2:7" ht="15.75" customHeight="1">
      <c r="B42" s="62" t="str">
        <f>HYPERLINK("http://www.naccw.org.za/","National Association of Child Care Workers")</f>
        <v>National Association of Child Care Workers</v>
      </c>
      <c r="C42" s="191" t="s">
        <v>252</v>
      </c>
      <c r="D42" s="85" t="s">
        <v>253</v>
      </c>
      <c r="E42" s="91"/>
      <c r="F42" s="91"/>
      <c r="G42" s="78"/>
    </row>
  </sheetData>
  <sheetProtection selectLockedCells="1" selectUnlockedCells="1"/>
  <autoFilter ref="B8:E21"/>
  <mergeCells count="1">
    <mergeCell ref="B29:C29"/>
  </mergeCells>
  <hyperlinks>
    <hyperlink ref="C10" r:id="rId1" display="Department of Social Work"/>
    <hyperlink ref="C11" r:id="rId2" display="Department of Social Development"/>
    <hyperlink ref="B18" r:id="rId3" display="University of the Free State"/>
  </hyperlinks>
  <printOptions/>
  <pageMargins left="0.75" right="0.75" top="1.7875" bottom="1.7875" header="0.5118055555555555" footer="0.5118055555555555"/>
  <pageSetup horizontalDpi="300" verticalDpi="3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A2" sqref="A1:A2"/>
    </sheetView>
  </sheetViews>
  <sheetFormatPr defaultColWidth="11.140625" defaultRowHeight="12.75"/>
  <cols>
    <col min="1" max="1" width="11.140625" style="75" customWidth="1"/>
    <col min="2" max="2" width="53.28125" style="75" customWidth="1"/>
    <col min="3" max="3" width="47.8515625" style="75" customWidth="1"/>
    <col min="4" max="4" width="45.57421875" style="75" customWidth="1"/>
    <col min="5" max="5" width="15.28125" style="75" customWidth="1"/>
    <col min="6" max="6" width="11.140625" style="75" customWidth="1"/>
    <col min="7" max="7" width="38.28125" style="75" customWidth="1"/>
    <col min="8" max="8" width="11.140625" style="75" customWidth="1"/>
    <col min="9" max="9" width="46.00390625" style="75" customWidth="1"/>
    <col min="10" max="16384" width="11.140625" style="75" customWidth="1"/>
  </cols>
  <sheetData>
    <row r="1" spans="2:9" s="70" customFormat="1" ht="21">
      <c r="B1" s="69" t="s">
        <v>254</v>
      </c>
      <c r="C1" s="69"/>
      <c r="D1" s="69"/>
      <c r="E1" s="69"/>
      <c r="F1" s="69"/>
      <c r="G1" s="69"/>
      <c r="H1" s="69"/>
      <c r="I1" s="69"/>
    </row>
    <row r="2" spans="2:9" s="72" customFormat="1" ht="17.25">
      <c r="B2" s="71"/>
      <c r="C2" s="71"/>
      <c r="D2" s="183"/>
      <c r="E2" s="183"/>
      <c r="F2" s="183"/>
      <c r="G2" s="183"/>
      <c r="H2" s="183"/>
      <c r="I2" s="183"/>
    </row>
    <row r="3" s="72" customFormat="1" ht="12.75"/>
    <row r="4" spans="2:9" s="74" customFormat="1" ht="17.25">
      <c r="B4" s="73" t="s">
        <v>8</v>
      </c>
      <c r="C4" s="73"/>
      <c r="D4" s="73"/>
      <c r="E4" s="73"/>
      <c r="F4" s="73"/>
      <c r="G4" s="73"/>
      <c r="H4" s="73"/>
      <c r="I4" s="73"/>
    </row>
    <row r="6" ht="12.75">
      <c r="B6" s="77" t="s">
        <v>229</v>
      </c>
    </row>
    <row r="7" spans="2:4" ht="12.75">
      <c r="B7" s="106"/>
      <c r="C7" s="106"/>
      <c r="D7" s="106"/>
    </row>
    <row r="8" spans="2:6" ht="15">
      <c r="B8" s="108" t="s">
        <v>11</v>
      </c>
      <c r="C8" s="108" t="s">
        <v>12</v>
      </c>
      <c r="D8" s="200" t="s">
        <v>14</v>
      </c>
      <c r="E8" s="201"/>
      <c r="F8" s="119"/>
    </row>
    <row r="9" spans="2:9" ht="15.75" customHeight="1">
      <c r="B9" s="49" t="str">
        <f>HYPERLINK("http://www.cityu.edu.hk/","City University of Hong Kong")</f>
        <v>City University of Hong Kong</v>
      </c>
      <c r="C9" s="64" t="str">
        <f>HYPERLINK("http://ssweb.cityu.edu.hk/","Department of Applied Social Studies")</f>
        <v>Department of Applied Social Studies</v>
      </c>
      <c r="D9" s="202" t="s">
        <v>28</v>
      </c>
      <c r="E9" s="203"/>
      <c r="F9" s="119" t="s">
        <v>17</v>
      </c>
      <c r="I9" s="91"/>
    </row>
    <row r="10" spans="2:7" ht="15.75" customHeight="1">
      <c r="B10" s="66" t="str">
        <f>HYPERLINK("http://buwww.hkbu.edu.hk/eng/main/index.jsp","Hong Kong Baptist University")</f>
        <v>Hong Kong Baptist University</v>
      </c>
      <c r="C10" s="67" t="str">
        <f>HYPERLINK("http://www.hkbu.edu.hk/~sowk/","Department of Social Work")</f>
        <v>Department of Social Work</v>
      </c>
      <c r="D10" s="202" t="s">
        <v>28</v>
      </c>
      <c r="E10" s="203"/>
      <c r="F10" s="88" t="s">
        <v>19</v>
      </c>
      <c r="G10" s="88" t="s">
        <v>20</v>
      </c>
    </row>
    <row r="11" spans="2:10" ht="15.75" customHeight="1">
      <c r="B11" s="49" t="str">
        <f>HYPERLINK("http://www.hksyu.edu/","Hong Kong Shue Yan University")</f>
        <v>Hong Kong Shue Yan University</v>
      </c>
      <c r="C11" s="67" t="str">
        <f>HYPERLINK("http://www.hksyu.edu/sw/","Department of Social Work")</f>
        <v>Department of Social Work</v>
      </c>
      <c r="D11" s="202" t="s">
        <v>22</v>
      </c>
      <c r="E11" s="203"/>
      <c r="F11" s="89" t="s">
        <v>87</v>
      </c>
      <c r="G11" s="89" t="s">
        <v>23</v>
      </c>
      <c r="J11" s="91"/>
    </row>
    <row r="12" spans="2:10" ht="15.75" customHeight="1">
      <c r="B12" s="66" t="str">
        <f>HYPERLINK("http://www.cuhk.edu.hk/english/index.html","The Chinese University of Hong Kong")</f>
        <v>The Chinese University of Hong Kong</v>
      </c>
      <c r="C12" s="67" t="str">
        <f>HYPERLINK("http://web.swk.cuhk.edu.hk/home","Department of Social Work")</f>
        <v>Department of Social Work</v>
      </c>
      <c r="D12" s="202" t="s">
        <v>28</v>
      </c>
      <c r="E12" s="203"/>
      <c r="F12" s="89" t="s">
        <v>88</v>
      </c>
      <c r="G12" s="89" t="s">
        <v>26</v>
      </c>
      <c r="J12" s="91"/>
    </row>
    <row r="13" spans="2:10" ht="15.75" customHeight="1">
      <c r="B13" s="66" t="str">
        <f>HYPERLINK("http://www.polyu.edu.hk/cpa/polyu/index.php","The Hong Kong Polytechnic University")</f>
        <v>The Hong Kong Polytechnic University</v>
      </c>
      <c r="C13" s="67" t="str">
        <f>HYPERLINK("http://www.polyu.edu.hk/apss/v2/default.php","Department of Applied Social Sciences")</f>
        <v>Department of Applied Social Sciences</v>
      </c>
      <c r="D13" s="202" t="s">
        <v>28</v>
      </c>
      <c r="E13" s="203"/>
      <c r="F13" s="89" t="s">
        <v>29</v>
      </c>
      <c r="G13" s="89" t="s">
        <v>30</v>
      </c>
      <c r="J13" s="91"/>
    </row>
    <row r="14" spans="2:10" ht="15.75" customHeight="1">
      <c r="B14" s="66" t="str">
        <f>HYPERLINK("http://www.hku.hk/","The University of Hong Kong")</f>
        <v>The University of Hong Kong</v>
      </c>
      <c r="C14" s="64" t="str">
        <f>HYPERLINK("http://www.socialwork.hku.hk/","Department of Social Work and Social Administration")</f>
        <v>Department of Social Work and Social Administration</v>
      </c>
      <c r="D14" s="202" t="s">
        <v>28</v>
      </c>
      <c r="E14" s="203"/>
      <c r="H14" s="78"/>
      <c r="J14" s="91"/>
    </row>
    <row r="15" spans="2:10" ht="12.75">
      <c r="B15" s="112"/>
      <c r="C15" s="112"/>
      <c r="D15" s="112"/>
      <c r="G15" s="91"/>
      <c r="J15" s="91"/>
    </row>
    <row r="16" ht="12.75">
      <c r="B16" s="77" t="s">
        <v>113</v>
      </c>
    </row>
    <row r="17" spans="2:5" ht="12.75">
      <c r="B17" s="106"/>
      <c r="C17" s="106"/>
      <c r="D17" s="78"/>
      <c r="E17" s="78"/>
    </row>
    <row r="18" spans="2:5" ht="12.75">
      <c r="B18" s="108" t="s">
        <v>48</v>
      </c>
      <c r="C18" s="204" t="s">
        <v>49</v>
      </c>
      <c r="D18" s="205"/>
      <c r="E18" s="81"/>
    </row>
    <row r="19" spans="2:5" ht="15.75" customHeight="1">
      <c r="B19" s="195" t="str">
        <f>HYPERLINK("http://www.swrb.org.hk/Engasp/links.asp","Schools of Social Work in Hong Kong")</f>
        <v>Schools of Social Work in Hong Kong</v>
      </c>
      <c r="C19" s="206" t="s">
        <v>255</v>
      </c>
      <c r="D19" s="205"/>
      <c r="E19" s="91"/>
    </row>
    <row r="20" spans="2:5" ht="12.75">
      <c r="B20" s="112"/>
      <c r="C20" s="112"/>
      <c r="D20" s="78"/>
      <c r="E20" s="78"/>
    </row>
    <row r="22" spans="2:9" s="74" customFormat="1" ht="17.25">
      <c r="B22" s="207" t="s">
        <v>183</v>
      </c>
      <c r="C22" s="207"/>
      <c r="D22" s="73"/>
      <c r="E22" s="73"/>
      <c r="F22" s="73"/>
      <c r="G22" s="73"/>
      <c r="H22" s="73"/>
      <c r="I22" s="73"/>
    </row>
    <row r="23" spans="2:5" ht="12.75">
      <c r="B23" s="78"/>
      <c r="C23" s="78"/>
      <c r="D23" s="78"/>
      <c r="E23" s="78"/>
    </row>
    <row r="24" spans="2:5" ht="12.75">
      <c r="B24" s="80" t="s">
        <v>48</v>
      </c>
      <c r="C24" s="80"/>
      <c r="D24" s="80" t="s">
        <v>49</v>
      </c>
      <c r="E24" s="81"/>
    </row>
    <row r="25" spans="2:6" ht="15.75" customHeight="1">
      <c r="B25" s="62" t="s">
        <v>362</v>
      </c>
      <c r="C25" s="191" t="s">
        <v>256</v>
      </c>
      <c r="D25" s="85" t="s">
        <v>266</v>
      </c>
      <c r="E25" s="87"/>
      <c r="F25" s="78"/>
    </row>
    <row r="26" spans="2:6" ht="16.5" customHeight="1">
      <c r="B26" s="84" t="str">
        <f>HYPERLINK("http://www.worldscinet.com/hkjsw/","Hong Kong Journal of Social Work")</f>
        <v>Hong Kong Journal of Social Work</v>
      </c>
      <c r="C26" s="199"/>
      <c r="D26" s="85" t="s">
        <v>222</v>
      </c>
      <c r="E26" s="87"/>
      <c r="F26" s="78"/>
    </row>
    <row r="27" spans="2:6" ht="15.75" customHeight="1">
      <c r="B27" s="84" t="str">
        <f>HYPERLINK("http://www.swrb.org.hk/Engasp/draft_copguide_e.asp","Code of Practice")</f>
        <v>Code of Practice</v>
      </c>
      <c r="C27" s="191" t="s">
        <v>257</v>
      </c>
      <c r="D27" s="85" t="s">
        <v>258</v>
      </c>
      <c r="E27" s="91"/>
      <c r="F27" s="78"/>
    </row>
    <row r="28" spans="2:6" ht="14.25" customHeight="1">
      <c r="B28" s="78"/>
      <c r="C28" s="78"/>
      <c r="D28" s="78"/>
      <c r="E28" s="78"/>
      <c r="F28" s="78"/>
    </row>
    <row r="29" spans="2:9" s="74" customFormat="1" ht="17.25">
      <c r="B29" s="73" t="s">
        <v>118</v>
      </c>
      <c r="C29" s="73"/>
      <c r="D29" s="73"/>
      <c r="E29" s="73"/>
      <c r="F29" s="73"/>
      <c r="G29" s="73"/>
      <c r="H29" s="73"/>
      <c r="I29" s="73"/>
    </row>
    <row r="30" spans="2:5" ht="12.75">
      <c r="B30" s="78"/>
      <c r="C30" s="78"/>
      <c r="D30" s="78"/>
      <c r="E30" s="78"/>
    </row>
    <row r="31" spans="2:5" ht="17.25" customHeight="1">
      <c r="B31" s="80" t="s">
        <v>48</v>
      </c>
      <c r="C31" s="80"/>
      <c r="D31" s="80" t="s">
        <v>49</v>
      </c>
      <c r="E31" s="81"/>
    </row>
    <row r="32" spans="2:6" ht="17.25" customHeight="1">
      <c r="B32" s="84" t="str">
        <f>HYPERLINK("http://www.hkswa.org.hk/en/node/1","Hong Kong Social Workers Association")</f>
        <v>Hong Kong Social Workers Association</v>
      </c>
      <c r="C32" s="191" t="s">
        <v>259</v>
      </c>
      <c r="D32" s="85" t="s">
        <v>260</v>
      </c>
      <c r="E32" s="87"/>
      <c r="F32" s="78"/>
    </row>
  </sheetData>
  <sheetProtection selectLockedCells="1" selectUnlockedCells="1"/>
  <autoFilter ref="B8:D14"/>
  <mergeCells count="1">
    <mergeCell ref="B22:C22"/>
  </mergeCells>
  <hyperlinks>
    <hyperlink ref="B25" r:id="rId1" display="Hong Kong Coucil of Social Service"/>
  </hyperlinks>
  <printOptions/>
  <pageMargins left="0.75" right="0.75" top="1.7875" bottom="1.7875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Lena03</dc:creator>
  <cp:keywords/>
  <dc:description/>
  <cp:lastModifiedBy>Deutsche Gesellschaft für Soziale Arbeit e.V.</cp:lastModifiedBy>
  <cp:lastPrinted>2015-08-20T09:07:07Z</cp:lastPrinted>
  <dcterms:created xsi:type="dcterms:W3CDTF">2011-12-19T13:55:27Z</dcterms:created>
  <dcterms:modified xsi:type="dcterms:W3CDTF">2016-11-08T09:06:52Z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